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498" activeTab="0"/>
  </bookViews>
  <sheets>
    <sheet name="Cover" sheetId="1" r:id="rId1"/>
    <sheet name="Instructions" sheetId="2" r:id="rId2"/>
    <sheet name="Length" sheetId="3" r:id="rId3"/>
    <sheet name="Area" sheetId="4" r:id="rId4"/>
    <sheet name="Volume" sheetId="5" r:id="rId5"/>
    <sheet name="Weight" sheetId="6" r:id="rId6"/>
    <sheet name="Temperature" sheetId="7" r:id="rId7"/>
    <sheet name="Force" sheetId="8" r:id="rId8"/>
    <sheet name="Energy" sheetId="9" r:id="rId9"/>
    <sheet name="Power" sheetId="10" r:id="rId10"/>
    <sheet name="Pressure" sheetId="11" r:id="rId11"/>
    <sheet name="Time" sheetId="12" r:id="rId12"/>
    <sheet name="Unlocking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John Cesarone</author>
  </authors>
  <commentList>
    <comment ref="C7" authorId="0">
      <text>
        <r>
          <rPr>
            <b/>
            <sz val="8"/>
            <rFont val="Tahoma"/>
            <family val="2"/>
          </rPr>
          <t>Enter your values in the appropriate row of this column only.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John Cesarone</author>
  </authors>
  <commentList>
    <comment ref="C7" authorId="0">
      <text>
        <r>
          <rPr>
            <b/>
            <sz val="8"/>
            <rFont val="Tahoma"/>
            <family val="2"/>
          </rPr>
          <t>Enter your values in the appropriate row of this column only.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John Cesarone</author>
  </authors>
  <commentList>
    <comment ref="C7" authorId="0">
      <text>
        <r>
          <rPr>
            <b/>
            <sz val="8"/>
            <rFont val="Tahoma"/>
            <family val="2"/>
          </rPr>
          <t>Enter your values in the appropriate row of this column only.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John Cesarone</author>
  </authors>
  <commentList>
    <comment ref="C7" authorId="0">
      <text>
        <r>
          <rPr>
            <b/>
            <sz val="8"/>
            <rFont val="Tahoma"/>
            <family val="2"/>
          </rPr>
          <t>Enter your values in the appropriate row of this column only.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John Cesarone</author>
  </authors>
  <commentList>
    <comment ref="C7" authorId="0">
      <text>
        <r>
          <rPr>
            <b/>
            <sz val="8"/>
            <rFont val="Tahoma"/>
            <family val="2"/>
          </rPr>
          <t>Enter your values in the appropriate row of this column only.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John Cesarone</author>
  </authors>
  <commentList>
    <comment ref="C7" authorId="0">
      <text>
        <r>
          <rPr>
            <b/>
            <sz val="8"/>
            <rFont val="Tahoma"/>
            <family val="2"/>
          </rPr>
          <t>Enter your values in the appropriate row of this column only.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John Cesarone</author>
  </authors>
  <commentList>
    <comment ref="C7" authorId="0">
      <text>
        <r>
          <rPr>
            <b/>
            <sz val="8"/>
            <rFont val="Tahoma"/>
            <family val="2"/>
          </rPr>
          <t>Enter your values in the appropriate row of this column only.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John Cesarone</author>
  </authors>
  <commentList>
    <comment ref="C7" authorId="0">
      <text>
        <r>
          <rPr>
            <b/>
            <sz val="8"/>
            <rFont val="Tahoma"/>
            <family val="2"/>
          </rPr>
          <t>Enter your values in the appropriate row of this column only.</t>
        </r>
      </text>
    </comment>
  </commentList>
</comments>
</file>

<file path=xl/comments9.xml><?xml version="1.0" encoding="utf-8"?>
<comments xmlns="http://schemas.openxmlformats.org/spreadsheetml/2006/main">
  <authors>
    <author>John Cesarone</author>
  </authors>
  <commentList>
    <comment ref="C7" authorId="0">
      <text>
        <r>
          <rPr>
            <b/>
            <sz val="8"/>
            <rFont val="Tahoma"/>
            <family val="2"/>
          </rPr>
          <t>Enter your values in the appropriate row of this column only.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<sst xmlns="http://schemas.openxmlformats.org/spreadsheetml/2006/main" count="310" uniqueCount="213">
  <si>
    <t>a division of Armitage Consulting</t>
  </si>
  <si>
    <t>Author:</t>
  </si>
  <si>
    <t>Date:</t>
  </si>
  <si>
    <t>Version:</t>
  </si>
  <si>
    <t>John Cesarone, Ph.D., P.E.</t>
  </si>
  <si>
    <t>Contact Information:</t>
  </si>
  <si>
    <t>jcesarone@ripco.com</t>
  </si>
  <si>
    <t>web:</t>
  </si>
  <si>
    <t>e-mail:</t>
  </si>
  <si>
    <t>phone:</t>
  </si>
  <si>
    <t>fax:</t>
  </si>
  <si>
    <t>312.266.4828</t>
  </si>
  <si>
    <t>312.803.1629</t>
  </si>
  <si>
    <t>A product of Engineering Solutions On-Line,</t>
  </si>
  <si>
    <t xml:space="preserve">Note to users:  feel free to use and freely copy this software template for your own use and that of </t>
  </si>
  <si>
    <t>your organization or company.  However, your individual license is not transferable to other organizations,</t>
  </si>
  <si>
    <t>nor are you authorized to duplicated this template for sale or other gain other than internal use.</t>
  </si>
  <si>
    <t>Engineering Solutions On-Line presents the</t>
  </si>
  <si>
    <t>Unit Conversions Template</t>
  </si>
  <si>
    <t>Instructions Page</t>
  </si>
  <si>
    <t>Area</t>
  </si>
  <si>
    <t>Volume</t>
  </si>
  <si>
    <t>Temperature</t>
  </si>
  <si>
    <t>And this is the equivalent length in:</t>
  </si>
  <si>
    <t>Inches</t>
  </si>
  <si>
    <t>Micrometer</t>
  </si>
  <si>
    <t>Enter area in:</t>
  </si>
  <si>
    <t>And this is the equivalent area in:</t>
  </si>
  <si>
    <r>
      <t>cm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</si>
  <si>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</si>
  <si>
    <r>
      <t>Miles</t>
    </r>
    <r>
      <rPr>
        <vertAlign val="superscript"/>
        <sz val="10"/>
        <rFont val="Arial"/>
        <family val="2"/>
      </rPr>
      <t>2</t>
    </r>
  </si>
  <si>
    <r>
      <t>Yards</t>
    </r>
    <r>
      <rPr>
        <vertAlign val="superscript"/>
        <sz val="10"/>
        <rFont val="Arial"/>
        <family val="2"/>
      </rPr>
      <t>2</t>
    </r>
  </si>
  <si>
    <r>
      <t>Feet</t>
    </r>
    <r>
      <rPr>
        <vertAlign val="superscript"/>
        <sz val="10"/>
        <rFont val="Arial"/>
        <family val="2"/>
      </rPr>
      <t>2</t>
    </r>
  </si>
  <si>
    <r>
      <t>Inches</t>
    </r>
    <r>
      <rPr>
        <vertAlign val="superscript"/>
        <sz val="10"/>
        <rFont val="Arial"/>
        <family val="2"/>
      </rPr>
      <t>2</t>
    </r>
  </si>
  <si>
    <r>
      <t>Meters</t>
    </r>
    <r>
      <rPr>
        <vertAlign val="superscript"/>
        <sz val="10"/>
        <rFont val="Arial"/>
        <family val="2"/>
      </rPr>
      <t>2</t>
    </r>
  </si>
  <si>
    <r>
      <t>Kilometers</t>
    </r>
    <r>
      <rPr>
        <vertAlign val="superscript"/>
        <sz val="10"/>
        <rFont val="Arial"/>
        <family val="2"/>
      </rPr>
      <t>2</t>
    </r>
  </si>
  <si>
    <t>Acres</t>
  </si>
  <si>
    <t>Hectares</t>
  </si>
  <si>
    <t>Feet</t>
  </si>
  <si>
    <t>Millimeters</t>
  </si>
  <si>
    <t>Centimeter</t>
  </si>
  <si>
    <t>Meters</t>
  </si>
  <si>
    <t>Nanometer</t>
  </si>
  <si>
    <t>Furlongs</t>
  </si>
  <si>
    <t>Nautical Miles</t>
  </si>
  <si>
    <t>Lightyears</t>
  </si>
  <si>
    <t>Parsecs</t>
  </si>
  <si>
    <t>Yards</t>
  </si>
  <si>
    <t>Centimeters</t>
  </si>
  <si>
    <t>Micrometers</t>
  </si>
  <si>
    <t>Nanometers</t>
  </si>
  <si>
    <t>Mils</t>
  </si>
  <si>
    <t>Ounce</t>
  </si>
  <si>
    <t>gram</t>
  </si>
  <si>
    <t>kilogram</t>
  </si>
  <si>
    <t>metric ton</t>
  </si>
  <si>
    <t>stone</t>
  </si>
  <si>
    <t>grain</t>
  </si>
  <si>
    <t>carat</t>
  </si>
  <si>
    <t>pound</t>
  </si>
  <si>
    <t>ounce</t>
  </si>
  <si>
    <t>ton</t>
  </si>
  <si>
    <t>milligram</t>
  </si>
  <si>
    <t>NOTE on Mass:</t>
  </si>
  <si>
    <t>Enter weight in:</t>
  </si>
  <si>
    <t>And this is the equivalent weight in:</t>
  </si>
  <si>
    <t>Enter volume in:</t>
  </si>
  <si>
    <t>And this is the equivalent volume in:</t>
  </si>
  <si>
    <r>
      <t>Inches</t>
    </r>
    <r>
      <rPr>
        <vertAlign val="superscript"/>
        <sz val="10"/>
        <rFont val="Arial"/>
        <family val="2"/>
      </rPr>
      <t>3</t>
    </r>
  </si>
  <si>
    <r>
      <t>Feet</t>
    </r>
    <r>
      <rPr>
        <vertAlign val="superscript"/>
        <sz val="10"/>
        <rFont val="Arial"/>
        <family val="2"/>
      </rPr>
      <t>3</t>
    </r>
  </si>
  <si>
    <r>
      <t>Yards</t>
    </r>
    <r>
      <rPr>
        <vertAlign val="superscript"/>
        <sz val="10"/>
        <rFont val="Arial"/>
        <family val="2"/>
      </rPr>
      <t>3</t>
    </r>
  </si>
  <si>
    <r>
      <t>Miles</t>
    </r>
    <r>
      <rPr>
        <vertAlign val="superscript"/>
        <sz val="10"/>
        <rFont val="Arial"/>
        <family val="2"/>
      </rPr>
      <t>3</t>
    </r>
  </si>
  <si>
    <r>
      <t>mm</t>
    </r>
    <r>
      <rPr>
        <vertAlign val="superscript"/>
        <sz val="10"/>
        <rFont val="Arial"/>
        <family val="2"/>
      </rPr>
      <t>3</t>
    </r>
  </si>
  <si>
    <r>
      <t>cm</t>
    </r>
    <r>
      <rPr>
        <vertAlign val="superscript"/>
        <sz val="10"/>
        <rFont val="Arial"/>
        <family val="2"/>
      </rPr>
      <t>3</t>
    </r>
  </si>
  <si>
    <r>
      <t>Meters</t>
    </r>
    <r>
      <rPr>
        <vertAlign val="superscript"/>
        <sz val="10"/>
        <rFont val="Arial"/>
        <family val="2"/>
      </rPr>
      <t>3</t>
    </r>
  </si>
  <si>
    <r>
      <t>Kilometers</t>
    </r>
    <r>
      <rPr>
        <vertAlign val="superscript"/>
        <sz val="10"/>
        <rFont val="Arial"/>
        <family val="2"/>
      </rPr>
      <t>3</t>
    </r>
  </si>
  <si>
    <t>Pint</t>
  </si>
  <si>
    <t>Quart</t>
  </si>
  <si>
    <t>Liter</t>
  </si>
  <si>
    <t>Cup</t>
  </si>
  <si>
    <t>Gallon</t>
  </si>
  <si>
    <t>Tablespoon</t>
  </si>
  <si>
    <t>Teaspoon</t>
  </si>
  <si>
    <t>Pages Included in this Template:</t>
  </si>
  <si>
    <t>Weight</t>
  </si>
  <si>
    <t>Enter temperature in:</t>
  </si>
  <si>
    <t>And this is the equivalent temperature in:</t>
  </si>
  <si>
    <t>Farhrenheit</t>
  </si>
  <si>
    <t>Celsius</t>
  </si>
  <si>
    <t>Kelvin</t>
  </si>
  <si>
    <t>Rankine</t>
  </si>
  <si>
    <t>Fahrenheit</t>
  </si>
  <si>
    <t>Universal Unit Conversions Template</t>
  </si>
  <si>
    <t>http://EngineeringSolutions.homestead.com</t>
  </si>
  <si>
    <t>Miles</t>
  </si>
  <si>
    <t>Fathom</t>
  </si>
  <si>
    <t>Fathoms</t>
  </si>
  <si>
    <t>Rods</t>
  </si>
  <si>
    <t>Enter Length In:</t>
  </si>
  <si>
    <t>Mil</t>
  </si>
  <si>
    <t>This Unit Conversions template will help you to convert between common engineering quantities.</t>
  </si>
  <si>
    <t>Length:</t>
  </si>
  <si>
    <t>newton</t>
  </si>
  <si>
    <t>dyne</t>
  </si>
  <si>
    <t>pound-force</t>
  </si>
  <si>
    <t>kilogram-force</t>
  </si>
  <si>
    <t>Enter force in:</t>
  </si>
  <si>
    <t>And this is the equivalent force in:</t>
  </si>
  <si>
    <t>Force</t>
  </si>
  <si>
    <t>pounds force, kilograms force, newtons, and dynes</t>
  </si>
  <si>
    <t>Enter energy in:</t>
  </si>
  <si>
    <t>And this is the equivalent energy in:</t>
  </si>
  <si>
    <t>BTU</t>
  </si>
  <si>
    <t>calorie</t>
  </si>
  <si>
    <t>joule</t>
  </si>
  <si>
    <t>electron-volt</t>
  </si>
  <si>
    <t>erg</t>
  </si>
  <si>
    <t>kilowatt-hour</t>
  </si>
  <si>
    <t>therm</t>
  </si>
  <si>
    <t>newton-meter</t>
  </si>
  <si>
    <t>dyne-centimeter</t>
  </si>
  <si>
    <t>horsepower-hour</t>
  </si>
  <si>
    <t>foot-pound</t>
  </si>
  <si>
    <t>inch-pound</t>
  </si>
  <si>
    <t>watt-hour</t>
  </si>
  <si>
    <t>Energy</t>
  </si>
  <si>
    <t>BTUs, watt-hours, kilowatt-hours, foot-pounds, inch-pounds, horsepower-hours, calories, joules, ergs, therms, electron-volts, newton-meters, and dyne-centimeters</t>
  </si>
  <si>
    <t>Enter power in:</t>
  </si>
  <si>
    <t>And this is the equivalent power in:</t>
  </si>
  <si>
    <t>horsepower</t>
  </si>
  <si>
    <t>watt</t>
  </si>
  <si>
    <t>kilowatt</t>
  </si>
  <si>
    <t>megawatt</t>
  </si>
  <si>
    <t>BTU/hour</t>
  </si>
  <si>
    <t>BTU/minute</t>
  </si>
  <si>
    <t>calorie/second</t>
  </si>
  <si>
    <t>foot-pound/minute</t>
  </si>
  <si>
    <t>foot-pound/second</t>
  </si>
  <si>
    <t>Power</t>
  </si>
  <si>
    <t>horsepower, watts, kilowatts, megawatts, BTU/hour, BTU/minute, calories/second, foot-pounds/minute, and foot-pounds/second</t>
  </si>
  <si>
    <r>
      <t xml:space="preserve">Some of the units on this page are, admittedly, </t>
    </r>
    <r>
      <rPr>
        <i/>
        <sz val="10"/>
        <color indexed="18"/>
        <rFont val="Arial"/>
        <family val="2"/>
      </rPr>
      <t>mass,</t>
    </r>
    <r>
      <rPr>
        <sz val="10"/>
        <color indexed="18"/>
        <rFont val="Arial"/>
        <family val="2"/>
      </rPr>
      <t xml:space="preserve"> not </t>
    </r>
    <r>
      <rPr>
        <i/>
        <sz val="10"/>
        <color indexed="18"/>
        <rFont val="Arial"/>
        <family val="2"/>
      </rPr>
      <t>weight.</t>
    </r>
    <r>
      <rPr>
        <sz val="10"/>
        <color indexed="18"/>
        <rFont val="Arial"/>
        <family val="2"/>
      </rPr>
      <t xml:space="preserve">  I have used the two concepts interchangeably, which is not really justifiable,</t>
    </r>
  </si>
  <si>
    <t>in a scientific sense, but will give correct conversions as long as normal Earth gravity is in effect.  My apologies to off-world users of this template.</t>
  </si>
  <si>
    <t>atmosphere</t>
  </si>
  <si>
    <t>bar</t>
  </si>
  <si>
    <t>PSI</t>
  </si>
  <si>
    <t>torr</t>
  </si>
  <si>
    <t>Enter pressure in:</t>
  </si>
  <si>
    <t>And this is the equivalent pressure in:</t>
  </si>
  <si>
    <t>torr (mm mercury)</t>
  </si>
  <si>
    <t>inches mercury</t>
  </si>
  <si>
    <t>Pascal</t>
  </si>
  <si>
    <t>PSI = pounds per squre inch</t>
  </si>
  <si>
    <t>atmosphere = 14.7 PSI</t>
  </si>
  <si>
    <t>torr = pressure exerted by a column of mercury one millimeter high</t>
  </si>
  <si>
    <t>inches of mercury = pressure exerted by a column of mercury one inch high</t>
  </si>
  <si>
    <t>Pascals = Newtons per square meter</t>
  </si>
  <si>
    <t>bar = 100,000 Pascals</t>
  </si>
  <si>
    <t>watt = one joule per second</t>
  </si>
  <si>
    <t>horsepower = 550 foot pounds per second</t>
  </si>
  <si>
    <t>megawatt = million watts</t>
  </si>
  <si>
    <t>kilowatt = thousand watts</t>
  </si>
  <si>
    <r>
      <t>BTU = energy required to raise the temperature of one pound of water from 63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 to 64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</si>
  <si>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>calorie = energy required to raise the temperature of one gram of water from 14.5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 to 15.5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</si>
  <si>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dyne = grams per square centimeter</t>
  </si>
  <si>
    <t>electron-volt = 1.60 E-19 Joules</t>
  </si>
  <si>
    <t>Some Handy Definitions:</t>
  </si>
  <si>
    <t>nanosecond</t>
  </si>
  <si>
    <t>century</t>
  </si>
  <si>
    <t>day</t>
  </si>
  <si>
    <t>fortnight</t>
  </si>
  <si>
    <t>hour</t>
  </si>
  <si>
    <t>year</t>
  </si>
  <si>
    <t>millisecond</t>
  </si>
  <si>
    <t>minute</t>
  </si>
  <si>
    <t>second</t>
  </si>
  <si>
    <t>week</t>
  </si>
  <si>
    <t>second = the duration of 9,192,631,770 periods of the radiation corresponding to the transition between the two hyperfine levels of the ground state of the cesium 133 atom.</t>
  </si>
  <si>
    <t>A Handy Definition:</t>
  </si>
  <si>
    <t>Enter time in:</t>
  </si>
  <si>
    <t>And this is the equivalent time in:</t>
  </si>
  <si>
    <t>Select the tab at the bottom of the page for the type of quantity you are interested in (Length, Area, Volume, etc.).</t>
  </si>
  <si>
    <t>across the page in each of the appropriate columns.</t>
  </si>
  <si>
    <t xml:space="preserve">On the selected page, enter your value in the slot for the current unit in Column C.  The value in all other units will be displayed horizontally </t>
  </si>
  <si>
    <t>Pressure</t>
  </si>
  <si>
    <t>Time</t>
  </si>
  <si>
    <t>PSI, atmosphere, torr, inches of mercury, Pascal, bar</t>
  </si>
  <si>
    <t>nanosecond, millisecond, second, minutes, hour, day, week, fortnight, year, century</t>
  </si>
  <si>
    <t>Copyright 2009, Armitage Consulting, all rights reserved</t>
  </si>
  <si>
    <t>May 2009</t>
  </si>
  <si>
    <t>2.0</t>
  </si>
  <si>
    <t>NOTE: This template is distributed in a "Free" version, in which certain functions are disabled, and editing is not permitted.  To receive an unlocked</t>
  </si>
  <si>
    <t>version, or the password for unlocking this file, send $5 USD to jcesarone@ripco.com (via PayPal).  Also send an email to the same</t>
  </si>
  <si>
    <t>address to let us know that you are waiting for the unlocked file.  Or, visit us at EngineeringSolutions.homestead.com.</t>
  </si>
  <si>
    <t>degreees in fahrenheit, celsius</t>
  </si>
  <si>
    <t>kelvin, and rankine</t>
  </si>
  <si>
    <t>pounds, ounces, tons, grams, kilograms</t>
  </si>
  <si>
    <t>milligrams, metric tons, stones, grains, carats</t>
  </si>
  <si>
    <r>
      <t>inches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, feet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, yards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, ounces, cups, pints, quarts</t>
    </r>
  </si>
  <si>
    <t>gallons, miles3, mm3, cm3, meters3, kilometers, liters, tablespoons, teaspoons</t>
  </si>
  <si>
    <r>
      <t>inches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feet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yards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miles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meters</t>
    </r>
    <r>
      <rPr>
        <vertAlign val="superscript"/>
        <sz val="10"/>
        <rFont val="Arial"/>
        <family val="2"/>
      </rPr>
      <t>2</t>
    </r>
  </si>
  <si>
    <t>kilometers, acres, hectares</t>
  </si>
  <si>
    <t>inches, feet, yards, miles, millimeters, centimeters</t>
  </si>
  <si>
    <t>meters, micrometers, nanometers, mils furlongs, nautical miles, lightyears, parsecs, fathoms, and rods</t>
  </si>
  <si>
    <t>Units in gray area are only available in unlocked, paid version - $5 USD - see EngineeringSolutions.homestead.com/unit_conversion.html for details</t>
  </si>
  <si>
    <t>To unlock this template using the password, go to each conversion sheet, select Tools, Protection, and Unprotect Sheet.</t>
  </si>
  <si>
    <t>Supply the password and press OK.</t>
  </si>
  <si>
    <t>Then highlight the grid of blank equivalent values, and change the font color to Black.  Do the same for each page.</t>
  </si>
  <si>
    <t>To purchase an editable version of this file, please visit the following purchase link:</t>
  </si>
  <si>
    <t>Or, visit the product description page and click the blue "Buy Now" button at:</t>
  </si>
  <si>
    <t>Or visit our homepage at:</t>
  </si>
  <si>
    <t>http://engineeringsolutions.homestead.com/index.html</t>
  </si>
  <si>
    <t>https://order.shareit.com/cart/add?vendorid=200278153&amp;PRODUCT[300863005]=1&amp;pts=CCA,DDB,PAL</t>
  </si>
  <si>
    <t>http://engineeringsolutions.homestead.com/unit_conversion.html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</si>
</sst>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000"/>
    <numFmt numFmtId="168" formatCode="&quot;$&quot;#,##0.0000"/>
    <numFmt numFmtId="169" formatCode="0.0000E+00"/>
    <numFmt numFmtId="170" formatCode=";;;"/>
  </numFmts>
  <fonts count="5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24"/>
      <color indexed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i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35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5" fillId="35" borderId="17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18" fillId="0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9" fillId="36" borderId="17" xfId="0" applyFont="1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36" borderId="14" xfId="0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8" fillId="36" borderId="18" xfId="0" applyFont="1" applyFill="1" applyBorder="1" applyAlignment="1" applyProtection="1">
      <alignment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5" fillId="35" borderId="17" xfId="0" applyFont="1" applyFill="1" applyBorder="1" applyAlignment="1" applyProtection="1">
      <alignment/>
      <protection hidden="1"/>
    </xf>
    <xf numFmtId="0" fontId="0" fillId="35" borderId="11" xfId="0" applyFill="1" applyBorder="1" applyAlignment="1" applyProtection="1">
      <alignment/>
      <protection hidden="1"/>
    </xf>
    <xf numFmtId="0" fontId="0" fillId="35" borderId="12" xfId="0" applyFill="1" applyBorder="1" applyAlignment="1" applyProtection="1">
      <alignment/>
      <protection hidden="1"/>
    </xf>
    <xf numFmtId="0" fontId="5" fillId="35" borderId="14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1" fillId="35" borderId="14" xfId="0" applyFont="1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17" fontId="0" fillId="35" borderId="0" xfId="0" applyNumberFormat="1" applyFill="1" applyBorder="1" applyAlignment="1" applyProtection="1" quotePrefix="1">
      <alignment/>
      <protection hidden="1"/>
    </xf>
    <xf numFmtId="0" fontId="0" fillId="35" borderId="0" xfId="0" applyFill="1" applyBorder="1" applyAlignment="1" applyProtection="1" quotePrefix="1">
      <alignment/>
      <protection hidden="1"/>
    </xf>
    <xf numFmtId="0" fontId="1" fillId="35" borderId="18" xfId="0" applyFont="1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0" fontId="6" fillId="37" borderId="17" xfId="0" applyFont="1" applyFill="1" applyBorder="1" applyAlignment="1" applyProtection="1">
      <alignment/>
      <protection hidden="1"/>
    </xf>
    <xf numFmtId="0" fontId="0" fillId="37" borderId="11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6" fillId="37" borderId="14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3" xfId="0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15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4" fillId="36" borderId="17" xfId="0" applyFont="1" applyFill="1" applyBorder="1" applyAlignment="1" applyProtection="1">
      <alignment/>
      <protection hidden="1"/>
    </xf>
    <xf numFmtId="0" fontId="4" fillId="36" borderId="11" xfId="0" applyFont="1" applyFill="1" applyBorder="1" applyAlignment="1" applyProtection="1">
      <alignment/>
      <protection hidden="1"/>
    </xf>
    <xf numFmtId="0" fontId="4" fillId="36" borderId="12" xfId="0" applyFont="1" applyFill="1" applyBorder="1" applyAlignment="1" applyProtection="1">
      <alignment/>
      <protection hidden="1"/>
    </xf>
    <xf numFmtId="0" fontId="7" fillId="36" borderId="18" xfId="0" applyFont="1" applyFill="1" applyBorder="1" applyAlignment="1" applyProtection="1">
      <alignment/>
      <protection hidden="1"/>
    </xf>
    <xf numFmtId="0" fontId="4" fillId="36" borderId="15" xfId="0" applyFont="1" applyFill="1" applyBorder="1" applyAlignment="1" applyProtection="1">
      <alignment/>
      <protection hidden="1"/>
    </xf>
    <xf numFmtId="0" fontId="4" fillId="36" borderId="16" xfId="0" applyFont="1" applyFill="1" applyBorder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0" fillId="35" borderId="17" xfId="0" applyFont="1" applyFill="1" applyBorder="1" applyAlignment="1" applyProtection="1">
      <alignment/>
      <protection hidden="1"/>
    </xf>
    <xf numFmtId="0" fontId="0" fillId="35" borderId="14" xfId="0" applyFont="1" applyFill="1" applyBorder="1" applyAlignment="1" applyProtection="1">
      <alignment/>
      <protection hidden="1"/>
    </xf>
    <xf numFmtId="0" fontId="0" fillId="35" borderId="18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37" borderId="17" xfId="0" applyFont="1" applyFill="1" applyBorder="1" applyAlignment="1" applyProtection="1">
      <alignment/>
      <protection hidden="1"/>
    </xf>
    <xf numFmtId="0" fontId="3" fillId="37" borderId="11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3" fillId="37" borderId="14" xfId="0" applyFont="1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3" fillId="35" borderId="0" xfId="0" applyFont="1" applyFill="1" applyBorder="1" applyAlignment="1" applyProtection="1">
      <alignment/>
      <protection hidden="1"/>
    </xf>
    <xf numFmtId="0" fontId="3" fillId="35" borderId="13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0" fillId="35" borderId="20" xfId="0" applyFont="1" applyFill="1" applyBorder="1" applyAlignment="1" applyProtection="1">
      <alignment/>
      <protection hidden="1"/>
    </xf>
    <xf numFmtId="0" fontId="3" fillId="35" borderId="20" xfId="0" applyFont="1" applyFill="1" applyBorder="1" applyAlignment="1" applyProtection="1">
      <alignment/>
      <protection hidden="1"/>
    </xf>
    <xf numFmtId="0" fontId="3" fillId="35" borderId="21" xfId="0" applyFont="1" applyFill="1" applyBorder="1" applyAlignment="1" applyProtection="1">
      <alignment/>
      <protection hidden="1"/>
    </xf>
    <xf numFmtId="0" fontId="3" fillId="37" borderId="13" xfId="0" applyFont="1" applyFill="1" applyBorder="1" applyAlignment="1" applyProtection="1">
      <alignment/>
      <protection hidden="1"/>
    </xf>
    <xf numFmtId="0" fontId="3" fillId="37" borderId="18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/>
      <protection hidden="1"/>
    </xf>
    <xf numFmtId="0" fontId="3" fillId="37" borderId="15" xfId="0" applyFont="1" applyFill="1" applyBorder="1" applyAlignment="1" applyProtection="1">
      <alignment/>
      <protection hidden="1"/>
    </xf>
    <xf numFmtId="0" fontId="3" fillId="37" borderId="16" xfId="0" applyFont="1" applyFill="1" applyBorder="1" applyAlignment="1" applyProtection="1">
      <alignment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18" xfId="0" applyFill="1" applyBorder="1" applyAlignment="1" applyProtection="1">
      <alignment/>
      <protection hidden="1"/>
    </xf>
    <xf numFmtId="0" fontId="10" fillId="35" borderId="0" xfId="53" applyFill="1" applyBorder="1" applyAlignment="1" applyProtection="1">
      <alignment horizontal="left"/>
      <protection hidden="1"/>
    </xf>
    <xf numFmtId="0" fontId="10" fillId="35" borderId="0" xfId="53" applyNumberForma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9" fillId="36" borderId="22" xfId="0" applyFont="1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9" fillId="36" borderId="23" xfId="0" applyFont="1" applyFill="1" applyBorder="1" applyAlignment="1" applyProtection="1">
      <alignment/>
      <protection/>
    </xf>
    <xf numFmtId="0" fontId="0" fillId="38" borderId="23" xfId="0" applyFill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9" fillId="36" borderId="25" xfId="0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0" fillId="38" borderId="26" xfId="0" applyFill="1" applyBorder="1" applyAlignment="1" applyProtection="1">
      <alignment/>
      <protection/>
    </xf>
    <xf numFmtId="0" fontId="36" fillId="36" borderId="25" xfId="0" applyFont="1" applyFill="1" applyBorder="1" applyAlignment="1" applyProtection="1">
      <alignment/>
      <protection/>
    </xf>
    <xf numFmtId="0" fontId="10" fillId="36" borderId="0" xfId="53" applyFill="1" applyBorder="1" applyAlignment="1" applyProtection="1">
      <alignment/>
      <protection/>
    </xf>
    <xf numFmtId="0" fontId="9" fillId="38" borderId="25" xfId="0" applyFont="1" applyFill="1" applyBorder="1" applyAlignment="1" applyProtection="1">
      <alignment/>
      <protection/>
    </xf>
    <xf numFmtId="0" fontId="9" fillId="38" borderId="0" xfId="0" applyFont="1" applyFill="1" applyBorder="1" applyAlignment="1" applyProtection="1">
      <alignment/>
      <protection/>
    </xf>
    <xf numFmtId="0" fontId="0" fillId="38" borderId="25" xfId="0" applyFill="1" applyBorder="1" applyAlignment="1" applyProtection="1">
      <alignment/>
      <protection/>
    </xf>
    <xf numFmtId="0" fontId="36" fillId="38" borderId="25" xfId="0" applyFont="1" applyFill="1" applyBorder="1" applyAlignment="1" applyProtection="1">
      <alignment/>
      <protection/>
    </xf>
    <xf numFmtId="0" fontId="0" fillId="38" borderId="27" xfId="0" applyFill="1" applyBorder="1" applyAlignment="1" applyProtection="1">
      <alignment/>
      <protection/>
    </xf>
    <xf numFmtId="0" fontId="0" fillId="38" borderId="28" xfId="0" applyFill="1" applyBorder="1" applyAlignment="1" applyProtection="1">
      <alignment/>
      <protection/>
    </xf>
    <xf numFmtId="0" fontId="0" fillId="38" borderId="29" xfId="0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gineeringsolutions.homestead.com/" TargetMode="External" /><Relationship Id="rId2" Type="http://schemas.openxmlformats.org/officeDocument/2006/relationships/hyperlink" Target="mailto:jcesarone@ripco.com?subject=Unit%20Conversion%20Template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7"/>
  <sheetViews>
    <sheetView showGridLines="0" tabSelected="1" zoomScalePageLayoutView="0" workbookViewId="0" topLeftCell="A1">
      <selection activeCell="M19" sqref="M19"/>
    </sheetView>
  </sheetViews>
  <sheetFormatPr defaultColWidth="9.140625" defaultRowHeight="12.75"/>
  <cols>
    <col min="1" max="16384" width="9.140625" style="27" customWidth="1"/>
  </cols>
  <sheetData>
    <row r="3" spans="3:13" ht="20.25">
      <c r="C3" s="24" t="s">
        <v>17</v>
      </c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3:13" ht="30">
      <c r="C4" s="28" t="s">
        <v>92</v>
      </c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3:13" ht="12.75" customHeight="1">
      <c r="C5" s="31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ht="12.75" customHeight="1">
      <c r="C6" s="34"/>
    </row>
    <row r="7" ht="12.75" customHeight="1"/>
    <row r="8" spans="4:11" ht="15.75">
      <c r="D8" s="35" t="s">
        <v>13</v>
      </c>
      <c r="E8" s="36"/>
      <c r="F8" s="36"/>
      <c r="G8" s="36"/>
      <c r="H8" s="36"/>
      <c r="I8" s="36"/>
      <c r="J8" s="36"/>
      <c r="K8" s="37"/>
    </row>
    <row r="9" spans="4:11" ht="15.75">
      <c r="D9" s="38" t="s">
        <v>0</v>
      </c>
      <c r="E9" s="39"/>
      <c r="F9" s="39"/>
      <c r="G9" s="39"/>
      <c r="H9" s="39"/>
      <c r="I9" s="39"/>
      <c r="J9" s="39"/>
      <c r="K9" s="40"/>
    </row>
    <row r="10" spans="4:11" ht="12.75">
      <c r="D10" s="41" t="s">
        <v>187</v>
      </c>
      <c r="E10" s="39"/>
      <c r="F10" s="39"/>
      <c r="G10" s="39"/>
      <c r="H10" s="39"/>
      <c r="I10" s="39"/>
      <c r="J10" s="39"/>
      <c r="K10" s="40"/>
    </row>
    <row r="11" spans="4:11" ht="12.75">
      <c r="D11" s="42"/>
      <c r="E11" s="39"/>
      <c r="F11" s="39"/>
      <c r="G11" s="39"/>
      <c r="H11" s="39"/>
      <c r="I11" s="39"/>
      <c r="J11" s="39"/>
      <c r="K11" s="40"/>
    </row>
    <row r="12" spans="4:11" ht="12.75">
      <c r="D12" s="42"/>
      <c r="E12" s="39"/>
      <c r="F12" s="39"/>
      <c r="G12" s="39"/>
      <c r="H12" s="39"/>
      <c r="I12" s="39"/>
      <c r="J12" s="39"/>
      <c r="K12" s="40"/>
    </row>
    <row r="13" spans="4:11" ht="12.75">
      <c r="D13" s="41" t="s">
        <v>1</v>
      </c>
      <c r="E13" s="39" t="s">
        <v>4</v>
      </c>
      <c r="F13" s="39"/>
      <c r="G13" s="39"/>
      <c r="H13" s="39"/>
      <c r="I13" s="39"/>
      <c r="J13" s="39"/>
      <c r="K13" s="40"/>
    </row>
    <row r="14" spans="4:11" ht="12.75">
      <c r="D14" s="41" t="s">
        <v>2</v>
      </c>
      <c r="E14" s="43" t="s">
        <v>188</v>
      </c>
      <c r="F14" s="39"/>
      <c r="G14" s="39"/>
      <c r="H14" s="39"/>
      <c r="I14" s="39"/>
      <c r="J14" s="39"/>
      <c r="K14" s="40"/>
    </row>
    <row r="15" spans="4:11" ht="12.75">
      <c r="D15" s="41" t="s">
        <v>3</v>
      </c>
      <c r="E15" s="44" t="s">
        <v>189</v>
      </c>
      <c r="F15" s="39"/>
      <c r="G15" s="39"/>
      <c r="H15" s="39"/>
      <c r="I15" s="39"/>
      <c r="J15" s="39"/>
      <c r="K15" s="40"/>
    </row>
    <row r="16" spans="4:11" ht="12.75">
      <c r="D16" s="42"/>
      <c r="E16" s="39"/>
      <c r="F16" s="39"/>
      <c r="G16" s="39"/>
      <c r="H16" s="39"/>
      <c r="I16" s="39"/>
      <c r="J16" s="39"/>
      <c r="K16" s="40"/>
    </row>
    <row r="17" spans="4:11" ht="12.75">
      <c r="D17" s="42"/>
      <c r="E17" s="39"/>
      <c r="F17" s="39"/>
      <c r="G17" s="39"/>
      <c r="H17" s="39"/>
      <c r="I17" s="39"/>
      <c r="J17" s="39"/>
      <c r="K17" s="40"/>
    </row>
    <row r="18" spans="4:11" ht="12.75">
      <c r="D18" s="41" t="s">
        <v>5</v>
      </c>
      <c r="E18" s="39"/>
      <c r="F18" s="39"/>
      <c r="G18" s="39"/>
      <c r="H18" s="39"/>
      <c r="I18" s="39"/>
      <c r="J18" s="39"/>
      <c r="K18" s="40"/>
    </row>
    <row r="19" spans="4:11" ht="12.75">
      <c r="D19" s="41" t="s">
        <v>8</v>
      </c>
      <c r="E19" s="92" t="s">
        <v>6</v>
      </c>
      <c r="F19" s="92"/>
      <c r="G19" s="92"/>
      <c r="H19" s="92"/>
      <c r="I19" s="39"/>
      <c r="J19" s="39"/>
      <c r="K19" s="40"/>
    </row>
    <row r="20" spans="4:11" ht="12.75">
      <c r="D20" s="41" t="s">
        <v>7</v>
      </c>
      <c r="E20" s="91" t="s">
        <v>93</v>
      </c>
      <c r="F20" s="91"/>
      <c r="G20" s="91"/>
      <c r="H20" s="91"/>
      <c r="I20" s="91"/>
      <c r="J20" s="39"/>
      <c r="K20" s="40"/>
    </row>
    <row r="21" spans="4:11" ht="12.75">
      <c r="D21" s="41" t="s">
        <v>9</v>
      </c>
      <c r="E21" s="39" t="s">
        <v>11</v>
      </c>
      <c r="F21" s="39"/>
      <c r="G21" s="39"/>
      <c r="H21" s="39"/>
      <c r="I21" s="39"/>
      <c r="J21" s="39"/>
      <c r="K21" s="40"/>
    </row>
    <row r="22" spans="4:11" ht="12.75">
      <c r="D22" s="45" t="s">
        <v>10</v>
      </c>
      <c r="E22" s="46" t="s">
        <v>12</v>
      </c>
      <c r="F22" s="46"/>
      <c r="G22" s="46"/>
      <c r="H22" s="46"/>
      <c r="I22" s="46"/>
      <c r="J22" s="46"/>
      <c r="K22" s="47"/>
    </row>
    <row r="25" spans="4:13" ht="12.75">
      <c r="D25" s="48" t="s">
        <v>14</v>
      </c>
      <c r="E25" s="49"/>
      <c r="F25" s="49"/>
      <c r="G25" s="49"/>
      <c r="H25" s="49"/>
      <c r="I25" s="49"/>
      <c r="J25" s="49"/>
      <c r="K25" s="49"/>
      <c r="L25" s="49"/>
      <c r="M25" s="50"/>
    </row>
    <row r="26" spans="4:13" ht="12.75">
      <c r="D26" s="51" t="s">
        <v>15</v>
      </c>
      <c r="E26" s="52"/>
      <c r="F26" s="52"/>
      <c r="G26" s="52"/>
      <c r="H26" s="52"/>
      <c r="I26" s="52"/>
      <c r="J26" s="52"/>
      <c r="K26" s="52"/>
      <c r="L26" s="52"/>
      <c r="M26" s="53"/>
    </row>
    <row r="27" spans="4:13" ht="12.75">
      <c r="D27" s="54" t="s">
        <v>16</v>
      </c>
      <c r="E27" s="55"/>
      <c r="F27" s="55"/>
      <c r="G27" s="55"/>
      <c r="H27" s="55"/>
      <c r="I27" s="55"/>
      <c r="J27" s="55"/>
      <c r="K27" s="55"/>
      <c r="L27" s="55"/>
      <c r="M27" s="56"/>
    </row>
  </sheetData>
  <sheetProtection sheet="1" objects="1" scenarios="1"/>
  <mergeCells count="2">
    <mergeCell ref="E20:I20"/>
    <mergeCell ref="E19:H19"/>
  </mergeCells>
  <hyperlinks>
    <hyperlink ref="E20" r:id="rId1" display="http://EngineeringSolutions.homestead.com"/>
    <hyperlink ref="E19:H19" r:id="rId2" tooltip="Send e-mail to program author" display="jcesarone@ripco.com"/>
  </hyperlinks>
  <printOptions/>
  <pageMargins left="0.75" right="0.75" top="1" bottom="1" header="0.5" footer="0.5"/>
  <pageSetup horizontalDpi="600" verticalDpi="600" orientation="portrait" r:id="rId3"/>
  <ignoredErrors>
    <ignoredError sqref="E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5:N27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2" max="2" width="17.8515625" style="0" customWidth="1"/>
    <col min="5" max="5" width="13.421875" style="0" customWidth="1"/>
    <col min="6" max="6" width="8.140625" style="0" customWidth="1"/>
    <col min="7" max="7" width="8.28125" style="0" customWidth="1"/>
    <col min="8" max="8" width="9.57421875" style="0" customWidth="1"/>
    <col min="9" max="9" width="9.7109375" style="0" customWidth="1"/>
    <col min="10" max="10" width="11.28125" style="0" customWidth="1"/>
    <col min="11" max="11" width="14.140625" style="0" customWidth="1"/>
    <col min="12" max="12" width="15.8515625" style="0" bestFit="1" customWidth="1"/>
    <col min="13" max="13" width="16.28125" style="0" bestFit="1" customWidth="1"/>
    <col min="14" max="14" width="6.00390625" style="0" customWidth="1"/>
  </cols>
  <sheetData>
    <row r="5" spans="2:8" ht="12.75">
      <c r="B5" s="2" t="s">
        <v>127</v>
      </c>
      <c r="C5" s="2"/>
      <c r="D5" s="3"/>
      <c r="E5" s="2" t="s">
        <v>128</v>
      </c>
      <c r="F5" s="2"/>
      <c r="G5" s="2"/>
      <c r="H5" s="2"/>
    </row>
    <row r="6" spans="2:14" ht="12.75">
      <c r="B6" s="3"/>
      <c r="C6" s="3"/>
      <c r="D6" s="3"/>
      <c r="E6" s="3" t="s">
        <v>129</v>
      </c>
      <c r="F6" s="3" t="s">
        <v>130</v>
      </c>
      <c r="G6" s="3" t="s">
        <v>131</v>
      </c>
      <c r="H6" s="3" t="s">
        <v>132</v>
      </c>
      <c r="I6" s="3" t="s">
        <v>133</v>
      </c>
      <c r="J6" s="3" t="s">
        <v>134</v>
      </c>
      <c r="K6" s="3" t="s">
        <v>135</v>
      </c>
      <c r="L6" s="3" t="s">
        <v>136</v>
      </c>
      <c r="M6" s="3" t="s">
        <v>137</v>
      </c>
      <c r="N6" s="3"/>
    </row>
    <row r="7" spans="2:14" ht="12.75">
      <c r="B7" s="3" t="s">
        <v>129</v>
      </c>
      <c r="C7" s="4">
        <v>1</v>
      </c>
      <c r="D7" s="3"/>
      <c r="E7" s="23">
        <f>C7</f>
        <v>1</v>
      </c>
      <c r="F7" s="23">
        <f>E7*745.6999</f>
        <v>745.6999</v>
      </c>
      <c r="G7" s="23">
        <f>E7*0.7456999</f>
        <v>0.7456999</v>
      </c>
      <c r="H7" s="23">
        <f>E7*0.0007456999</f>
        <v>0.0007456999</v>
      </c>
      <c r="I7" s="23">
        <f>E7*2546.699</f>
        <v>2546.699</v>
      </c>
      <c r="J7" s="23">
        <f>E7*42.44498</f>
        <v>42.44498</v>
      </c>
      <c r="K7" s="23">
        <f>E7*178.2659</f>
        <v>178.2659</v>
      </c>
      <c r="L7" s="23">
        <f>E7*33000</f>
        <v>33000</v>
      </c>
      <c r="M7" s="23">
        <f>E7*550</f>
        <v>550</v>
      </c>
      <c r="N7" s="3"/>
    </row>
    <row r="8" spans="2:14" ht="12.75">
      <c r="B8" s="3" t="s">
        <v>130</v>
      </c>
      <c r="C8" s="4">
        <v>1</v>
      </c>
      <c r="D8" s="3"/>
      <c r="E8" s="23">
        <f>C8/745.6999</f>
        <v>0.0013410220384902829</v>
      </c>
      <c r="F8" s="23">
        <f aca="true" t="shared" si="0" ref="F8:F15">E8*745.6999</f>
        <v>1</v>
      </c>
      <c r="G8" s="23">
        <f aca="true" t="shared" si="1" ref="G8:G15">E8*0.7456999</f>
        <v>0.001</v>
      </c>
      <c r="H8" s="23">
        <f aca="true" t="shared" si="2" ref="H8:H15">E8*0.0007456999</f>
        <v>1.0000000000000002E-06</v>
      </c>
      <c r="I8" s="23">
        <f aca="true" t="shared" si="3" ref="I8:I15">E8*2546.699</f>
        <v>3.415179484401165</v>
      </c>
      <c r="J8" s="23">
        <f aca="true" t="shared" si="4" ref="J8:J15">E8*42.44498</f>
        <v>0.05691965360327929</v>
      </c>
      <c r="K8" s="23">
        <f aca="true" t="shared" si="5" ref="K8:K15">E8*178.2659</f>
        <v>0.2390585006113049</v>
      </c>
      <c r="L8" s="23">
        <f aca="true" t="shared" si="6" ref="L8:L15">E8*33000</f>
        <v>44.25372727017933</v>
      </c>
      <c r="M8" s="23">
        <f aca="true" t="shared" si="7" ref="M8:M15">E8*550</f>
        <v>0.7375621211696556</v>
      </c>
      <c r="N8" s="3"/>
    </row>
    <row r="9" spans="2:14" ht="12.75">
      <c r="B9" s="3" t="s">
        <v>131</v>
      </c>
      <c r="C9" s="93">
        <v>1</v>
      </c>
      <c r="D9" s="3"/>
      <c r="E9" s="23">
        <f>C9/0.7456999</f>
        <v>1.341022038490283</v>
      </c>
      <c r="F9" s="23">
        <f t="shared" si="0"/>
        <v>1000</v>
      </c>
      <c r="G9" s="23">
        <f t="shared" si="1"/>
        <v>1</v>
      </c>
      <c r="H9" s="23">
        <f t="shared" si="2"/>
        <v>0.0010000000000000002</v>
      </c>
      <c r="I9" s="23">
        <f t="shared" si="3"/>
        <v>3415.179484401165</v>
      </c>
      <c r="J9" s="23">
        <f t="shared" si="4"/>
        <v>56.919653603279286</v>
      </c>
      <c r="K9" s="23">
        <f t="shared" si="5"/>
        <v>239.0585006113049</v>
      </c>
      <c r="L9" s="23">
        <f t="shared" si="6"/>
        <v>44253.72727017933</v>
      </c>
      <c r="M9" s="23">
        <f t="shared" si="7"/>
        <v>737.5621211696556</v>
      </c>
      <c r="N9" s="3"/>
    </row>
    <row r="10" spans="2:14" ht="12.75">
      <c r="B10" s="3" t="s">
        <v>132</v>
      </c>
      <c r="C10" s="4">
        <v>1</v>
      </c>
      <c r="D10" s="3"/>
      <c r="E10" s="23">
        <f>C10/0.0007456999</f>
        <v>1341.0220384902827</v>
      </c>
      <c r="F10" s="23">
        <f t="shared" si="0"/>
        <v>999999.9999999999</v>
      </c>
      <c r="G10" s="23">
        <f t="shared" si="1"/>
        <v>1000</v>
      </c>
      <c r="H10" s="23">
        <f t="shared" si="2"/>
        <v>1</v>
      </c>
      <c r="I10" s="23">
        <f t="shared" si="3"/>
        <v>3415179.4844011646</v>
      </c>
      <c r="J10" s="23">
        <f t="shared" si="4"/>
        <v>56919.65360327928</v>
      </c>
      <c r="K10" s="23">
        <f t="shared" si="5"/>
        <v>239058.5006113049</v>
      </c>
      <c r="L10" s="23">
        <f t="shared" si="6"/>
        <v>44253727.27017933</v>
      </c>
      <c r="M10" s="23">
        <f t="shared" si="7"/>
        <v>737562.1211696555</v>
      </c>
      <c r="N10" s="3"/>
    </row>
    <row r="11" spans="2:14" ht="12.75">
      <c r="B11" s="3" t="s">
        <v>133</v>
      </c>
      <c r="C11" s="4">
        <v>1</v>
      </c>
      <c r="D11" s="3"/>
      <c r="E11" s="23">
        <f>C11/2546.699</f>
        <v>0.0003926651716594698</v>
      </c>
      <c r="F11" s="23">
        <f t="shared" si="0"/>
        <v>0.29281037923994946</v>
      </c>
      <c r="G11" s="23">
        <f t="shared" si="1"/>
        <v>0.00029281037923994946</v>
      </c>
      <c r="H11" s="23">
        <f t="shared" si="2"/>
        <v>2.928103792399495E-07</v>
      </c>
      <c r="I11" s="23">
        <f t="shared" si="3"/>
        <v>1</v>
      </c>
      <c r="J11" s="23">
        <f t="shared" si="4"/>
        <v>0.016666665357782762</v>
      </c>
      <c r="K11" s="23">
        <f t="shared" si="5"/>
        <v>0.06999881022452988</v>
      </c>
      <c r="L11" s="23">
        <f t="shared" si="6"/>
        <v>12.957950664762503</v>
      </c>
      <c r="M11" s="23">
        <f t="shared" si="7"/>
        <v>0.21596584441270839</v>
      </c>
      <c r="N11" s="3"/>
    </row>
    <row r="12" spans="2:14" ht="12.75">
      <c r="B12" s="3" t="s">
        <v>134</v>
      </c>
      <c r="C12" s="4">
        <v>1</v>
      </c>
      <c r="D12" s="3"/>
      <c r="E12" s="23">
        <f>C12/42.44498</f>
        <v>0.023559912149799574</v>
      </c>
      <c r="F12" s="23">
        <f t="shared" si="0"/>
        <v>17.568624134114327</v>
      </c>
      <c r="G12" s="23">
        <f t="shared" si="1"/>
        <v>0.017568624134114325</v>
      </c>
      <c r="H12" s="23">
        <f t="shared" si="2"/>
        <v>1.7568624134114327E-05</v>
      </c>
      <c r="I12" s="23">
        <f t="shared" si="3"/>
        <v>60.00000471198243</v>
      </c>
      <c r="J12" s="23">
        <f t="shared" si="4"/>
        <v>1</v>
      </c>
      <c r="K12" s="23">
        <f t="shared" si="5"/>
        <v>4.199928943304956</v>
      </c>
      <c r="L12" s="23">
        <f t="shared" si="6"/>
        <v>777.477100943386</v>
      </c>
      <c r="M12" s="23">
        <f t="shared" si="7"/>
        <v>12.957951682389766</v>
      </c>
      <c r="N12" s="3"/>
    </row>
    <row r="13" spans="2:14" ht="12.75">
      <c r="B13" s="3" t="s">
        <v>135</v>
      </c>
      <c r="C13" s="4">
        <v>1</v>
      </c>
      <c r="D13" s="3"/>
      <c r="E13" s="23">
        <f>C13/178.2659</f>
        <v>0.005609597797447521</v>
      </c>
      <c r="F13" s="23">
        <f t="shared" si="0"/>
        <v>4.183076516596836</v>
      </c>
      <c r="G13" s="23">
        <f t="shared" si="1"/>
        <v>0.0041830765165968365</v>
      </c>
      <c r="H13" s="23">
        <f t="shared" si="2"/>
        <v>4.183076516596837E-06</v>
      </c>
      <c r="I13" s="23">
        <f t="shared" si="3"/>
        <v>14.285957101161806</v>
      </c>
      <c r="J13" s="23">
        <f t="shared" si="4"/>
        <v>0.2380992663207041</v>
      </c>
      <c r="K13" s="23">
        <f t="shared" si="5"/>
        <v>1</v>
      </c>
      <c r="L13" s="23">
        <f t="shared" si="6"/>
        <v>185.1167273157682</v>
      </c>
      <c r="M13" s="23">
        <f t="shared" si="7"/>
        <v>3.0852787885961366</v>
      </c>
      <c r="N13" s="3"/>
    </row>
    <row r="14" spans="2:14" ht="12.75">
      <c r="B14" s="3" t="s">
        <v>136</v>
      </c>
      <c r="C14" s="4">
        <v>1</v>
      </c>
      <c r="D14" s="3"/>
      <c r="E14" s="23">
        <f>C14/33000</f>
        <v>3.0303030303030302E-05</v>
      </c>
      <c r="F14" s="23">
        <f t="shared" si="0"/>
        <v>0.022596966666666666</v>
      </c>
      <c r="G14" s="23">
        <f t="shared" si="1"/>
        <v>2.2596966666666664E-05</v>
      </c>
      <c r="H14" s="23">
        <f t="shared" si="2"/>
        <v>2.2596966666666668E-08</v>
      </c>
      <c r="I14" s="23">
        <f t="shared" si="3"/>
        <v>0.07717269696969697</v>
      </c>
      <c r="J14" s="23">
        <f t="shared" si="4"/>
        <v>0.0012862115151515152</v>
      </c>
      <c r="K14" s="23">
        <f t="shared" si="5"/>
        <v>0.0054019969696969695</v>
      </c>
      <c r="L14" s="23">
        <f t="shared" si="6"/>
        <v>1</v>
      </c>
      <c r="M14" s="23">
        <f t="shared" si="7"/>
        <v>0.016666666666666666</v>
      </c>
      <c r="N14" s="3"/>
    </row>
    <row r="15" spans="2:14" ht="12.75">
      <c r="B15" s="3" t="s">
        <v>137</v>
      </c>
      <c r="C15" s="4">
        <v>1</v>
      </c>
      <c r="D15" s="3"/>
      <c r="E15" s="23">
        <f>C15/550</f>
        <v>0.0018181818181818182</v>
      </c>
      <c r="F15" s="23">
        <f t="shared" si="0"/>
        <v>1.355818</v>
      </c>
      <c r="G15" s="23">
        <f t="shared" si="1"/>
        <v>0.001355818</v>
      </c>
      <c r="H15" s="23">
        <f t="shared" si="2"/>
        <v>1.355818E-06</v>
      </c>
      <c r="I15" s="23">
        <f t="shared" si="3"/>
        <v>4.630361818181818</v>
      </c>
      <c r="J15" s="23">
        <f t="shared" si="4"/>
        <v>0.07717269090909092</v>
      </c>
      <c r="K15" s="23">
        <f t="shared" si="5"/>
        <v>0.3241198181818182</v>
      </c>
      <c r="L15" s="23">
        <f t="shared" si="6"/>
        <v>60</v>
      </c>
      <c r="M15" s="23">
        <f t="shared" si="7"/>
        <v>1</v>
      </c>
      <c r="N15" s="3"/>
    </row>
    <row r="16" spans="2:14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20" spans="2:14" ht="12.75">
      <c r="B20" s="18" t="s">
        <v>165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2:14" ht="12.75"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2:14" ht="12.75">
      <c r="B22" s="12" t="s">
        <v>158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</row>
    <row r="23" spans="2:14" ht="12.75">
      <c r="B23" s="12" t="s">
        <v>157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2:14" ht="12.75">
      <c r="B24" s="12" t="s">
        <v>160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  <row r="25" spans="2:14" ht="12.75">
      <c r="B25" s="12" t="s">
        <v>159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</row>
    <row r="26" spans="2:14" ht="14.25">
      <c r="B26" s="12" t="s">
        <v>161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2:14" ht="14.25">
      <c r="B27" s="19" t="s">
        <v>162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</row>
  </sheetData>
  <sheetProtection password="87CD" sheet="1" objects="1" scenarios="1" selectLockedCells="1"/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5:K24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2" max="2" width="18.140625" style="0" customWidth="1"/>
    <col min="6" max="6" width="12.421875" style="0" customWidth="1"/>
    <col min="7" max="7" width="9.7109375" style="0" customWidth="1"/>
    <col min="8" max="8" width="14.8515625" style="0" customWidth="1"/>
  </cols>
  <sheetData>
    <row r="5" spans="2:8" ht="12.75">
      <c r="B5" s="2" t="s">
        <v>146</v>
      </c>
      <c r="C5" s="2"/>
      <c r="D5" s="3"/>
      <c r="E5" s="2" t="s">
        <v>147</v>
      </c>
      <c r="F5" s="2"/>
      <c r="G5" s="2"/>
      <c r="H5" s="2"/>
    </row>
    <row r="6" spans="2:11" ht="12.75">
      <c r="B6" s="3"/>
      <c r="C6" s="3"/>
      <c r="D6" s="3"/>
      <c r="E6" s="3" t="s">
        <v>144</v>
      </c>
      <c r="F6" s="3" t="s">
        <v>142</v>
      </c>
      <c r="G6" s="3" t="s">
        <v>145</v>
      </c>
      <c r="H6" s="3" t="s">
        <v>149</v>
      </c>
      <c r="I6" s="3" t="s">
        <v>150</v>
      </c>
      <c r="J6" s="3" t="s">
        <v>143</v>
      </c>
      <c r="K6" s="3"/>
    </row>
    <row r="7" spans="2:11" ht="12.75">
      <c r="B7" s="3" t="s">
        <v>144</v>
      </c>
      <c r="C7" s="4">
        <v>1</v>
      </c>
      <c r="D7" s="3"/>
      <c r="E7" s="23">
        <f>C7</f>
        <v>1</v>
      </c>
      <c r="F7" s="23">
        <f aca="true" t="shared" si="0" ref="F7:F12">E7*0.06804596</f>
        <v>0.06804596</v>
      </c>
      <c r="G7" s="23">
        <f aca="true" t="shared" si="1" ref="G7:G12">E7*51.71493</f>
        <v>51.71493</v>
      </c>
      <c r="H7" s="23">
        <f aca="true" t="shared" si="2" ref="H7:H12">E7*2.036021</f>
        <v>2.036021</v>
      </c>
      <c r="I7" s="23">
        <f aca="true" t="shared" si="3" ref="I7:I12">E7*6894.757</f>
        <v>6894.757</v>
      </c>
      <c r="J7" s="23">
        <f aca="true" t="shared" si="4" ref="J7:J12">E7*0.06894757</f>
        <v>0.06894757</v>
      </c>
      <c r="K7" s="3"/>
    </row>
    <row r="8" spans="2:11" ht="12.75">
      <c r="B8" s="3" t="s">
        <v>142</v>
      </c>
      <c r="C8" s="4">
        <v>1</v>
      </c>
      <c r="D8" s="3"/>
      <c r="E8" s="23">
        <f>C8/0.06804596</f>
        <v>14.69594961993335</v>
      </c>
      <c r="F8" s="23">
        <f t="shared" si="0"/>
        <v>1</v>
      </c>
      <c r="G8" s="23">
        <f t="shared" si="1"/>
        <v>760.0000058783799</v>
      </c>
      <c r="H8" s="23">
        <f t="shared" si="2"/>
        <v>29.921262041126315</v>
      </c>
      <c r="I8" s="23">
        <f t="shared" si="3"/>
        <v>101325.0015136828</v>
      </c>
      <c r="J8" s="23">
        <f t="shared" si="4"/>
        <v>1.013250015136828</v>
      </c>
      <c r="K8" s="3"/>
    </row>
    <row r="9" spans="2:11" ht="12.75">
      <c r="B9" s="3" t="s">
        <v>148</v>
      </c>
      <c r="C9" s="4">
        <v>1</v>
      </c>
      <c r="D9" s="3"/>
      <c r="E9" s="23">
        <f>C9/51.71493</f>
        <v>0.019336775666137417</v>
      </c>
      <c r="F9" s="23">
        <f t="shared" si="0"/>
        <v>0.00131578946350696</v>
      </c>
      <c r="G9" s="23">
        <f t="shared" si="1"/>
        <v>0.9999999999999999</v>
      </c>
      <c r="H9" s="23">
        <f t="shared" si="2"/>
        <v>0.03937008132854477</v>
      </c>
      <c r="I9" s="23">
        <f t="shared" si="3"/>
        <v>133.32236938153062</v>
      </c>
      <c r="J9" s="23">
        <f t="shared" si="4"/>
        <v>0.0013332236938153061</v>
      </c>
      <c r="K9" s="3"/>
    </row>
    <row r="10" spans="2:11" ht="12.75">
      <c r="B10" s="3" t="s">
        <v>149</v>
      </c>
      <c r="C10" s="4">
        <v>1</v>
      </c>
      <c r="D10" s="3"/>
      <c r="E10" s="23">
        <f>C10/2.036021</f>
        <v>0.49115406962894786</v>
      </c>
      <c r="F10" s="23">
        <f t="shared" si="0"/>
        <v>0.033421050175808605</v>
      </c>
      <c r="G10" s="23">
        <f t="shared" si="1"/>
        <v>25.399998330076166</v>
      </c>
      <c r="H10" s="23">
        <f t="shared" si="2"/>
        <v>1</v>
      </c>
      <c r="I10" s="23">
        <f t="shared" si="3"/>
        <v>3386.3879596526754</v>
      </c>
      <c r="J10" s="23">
        <f t="shared" si="4"/>
        <v>0.03386387959652676</v>
      </c>
      <c r="K10" s="3"/>
    </row>
    <row r="11" spans="2:11" ht="12.75">
      <c r="B11" s="3" t="s">
        <v>150</v>
      </c>
      <c r="C11" s="4">
        <v>1</v>
      </c>
      <c r="D11" s="3"/>
      <c r="E11" s="23">
        <f>C11/6894.757</f>
        <v>0.00014503774389728312</v>
      </c>
      <c r="F11" s="23">
        <f t="shared" si="0"/>
        <v>9.86923251972477E-06</v>
      </c>
      <c r="G11" s="23">
        <f t="shared" si="1"/>
        <v>0.007500616773005924</v>
      </c>
      <c r="H11" s="23">
        <f t="shared" si="2"/>
        <v>0.00029529989236749024</v>
      </c>
      <c r="I11" s="23">
        <f t="shared" si="3"/>
        <v>1</v>
      </c>
      <c r="J11" s="23">
        <f t="shared" si="4"/>
        <v>1E-05</v>
      </c>
      <c r="K11" s="3"/>
    </row>
    <row r="12" spans="2:11" ht="12.75">
      <c r="B12" s="3" t="s">
        <v>143</v>
      </c>
      <c r="C12" s="4">
        <v>1</v>
      </c>
      <c r="D12" s="3"/>
      <c r="E12" s="23">
        <f>C12/0.06894757</f>
        <v>14.503774389728312</v>
      </c>
      <c r="F12" s="23">
        <f t="shared" si="0"/>
        <v>0.9869232519724771</v>
      </c>
      <c r="G12" s="23">
        <f t="shared" si="1"/>
        <v>750.0616773005924</v>
      </c>
      <c r="H12" s="23">
        <f t="shared" si="2"/>
        <v>29.529989236749024</v>
      </c>
      <c r="I12" s="23">
        <f t="shared" si="3"/>
        <v>100000</v>
      </c>
      <c r="J12" s="23">
        <f t="shared" si="4"/>
        <v>1</v>
      </c>
      <c r="K12" s="3"/>
    </row>
    <row r="13" spans="2:11" ht="12.75">
      <c r="B13" s="3"/>
      <c r="C13" s="3"/>
      <c r="D13" s="3"/>
      <c r="E13" s="3"/>
      <c r="F13" s="3"/>
      <c r="G13" s="3"/>
      <c r="H13" s="3"/>
      <c r="I13" s="3"/>
      <c r="J13" s="3"/>
      <c r="K13" s="3"/>
    </row>
    <row r="17" spans="2:11" ht="12.75">
      <c r="B17" s="18" t="s">
        <v>165</v>
      </c>
      <c r="C17" s="8"/>
      <c r="D17" s="8"/>
      <c r="E17" s="8"/>
      <c r="F17" s="8"/>
      <c r="G17" s="8"/>
      <c r="H17" s="8"/>
      <c r="I17" s="8"/>
      <c r="J17" s="8"/>
      <c r="K17" s="9"/>
    </row>
    <row r="18" spans="2:11" ht="12.75">
      <c r="B18" s="12"/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12.75">
      <c r="B19" s="12" t="s">
        <v>151</v>
      </c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2.75">
      <c r="B20" s="12" t="s">
        <v>152</v>
      </c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2.75">
      <c r="B21" s="12" t="s">
        <v>153</v>
      </c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2.75">
      <c r="B22" s="12" t="s">
        <v>154</v>
      </c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2.75">
      <c r="B23" s="12" t="s">
        <v>155</v>
      </c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2.75">
      <c r="B24" s="19" t="s">
        <v>156</v>
      </c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 password="87CD"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5:Q30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3.8515625" style="0" customWidth="1"/>
    <col min="5" max="5" width="12.57421875" style="0" customWidth="1"/>
    <col min="6" max="6" width="11.421875" style="0" bestFit="1" customWidth="1"/>
    <col min="7" max="7" width="9.28125" style="0" customWidth="1"/>
    <col min="8" max="8" width="12.7109375" style="0" customWidth="1"/>
    <col min="9" max="9" width="11.57421875" style="0" customWidth="1"/>
    <col min="10" max="10" width="9.57421875" style="0" customWidth="1"/>
    <col min="11" max="11" width="7.421875" style="0" customWidth="1"/>
    <col min="12" max="12" width="11.57421875" style="0" bestFit="1" customWidth="1"/>
    <col min="13" max="13" width="10.421875" style="0" customWidth="1"/>
    <col min="14" max="14" width="12.57421875" style="0" bestFit="1" customWidth="1"/>
  </cols>
  <sheetData>
    <row r="5" spans="2:8" ht="12.75">
      <c r="B5" s="2" t="s">
        <v>178</v>
      </c>
      <c r="C5" s="2"/>
      <c r="D5" s="3"/>
      <c r="E5" s="2" t="s">
        <v>179</v>
      </c>
      <c r="F5" s="2"/>
      <c r="G5" s="2"/>
      <c r="H5" s="2"/>
    </row>
    <row r="6" spans="2:15" ht="12.75">
      <c r="B6" s="3"/>
      <c r="C6" s="3"/>
      <c r="D6" s="3"/>
      <c r="E6" s="3" t="s">
        <v>166</v>
      </c>
      <c r="F6" s="3" t="s">
        <v>172</v>
      </c>
      <c r="G6" s="3" t="s">
        <v>174</v>
      </c>
      <c r="H6" s="3" t="s">
        <v>173</v>
      </c>
      <c r="I6" s="3" t="s">
        <v>170</v>
      </c>
      <c r="J6" s="3" t="s">
        <v>168</v>
      </c>
      <c r="K6" s="3" t="s">
        <v>175</v>
      </c>
      <c r="L6" s="3" t="s">
        <v>169</v>
      </c>
      <c r="M6" s="3" t="s">
        <v>171</v>
      </c>
      <c r="N6" s="3" t="s">
        <v>167</v>
      </c>
      <c r="O6" s="3"/>
    </row>
    <row r="7" spans="2:15" ht="12.75">
      <c r="B7" s="3" t="s">
        <v>166</v>
      </c>
      <c r="C7" s="4">
        <v>1</v>
      </c>
      <c r="D7" s="3"/>
      <c r="E7" s="23">
        <f>C7</f>
        <v>1</v>
      </c>
      <c r="F7" s="23">
        <f>E7*0.000001</f>
        <v>1E-06</v>
      </c>
      <c r="G7" s="23">
        <f>E7*0.000000001</f>
        <v>1E-09</v>
      </c>
      <c r="H7" s="23">
        <f>E7*0.00000000001666667</f>
        <v>1.666667E-11</v>
      </c>
      <c r="I7" s="23">
        <f>E7*0.0000000000002777778</f>
        <v>2.777778E-13</v>
      </c>
      <c r="J7" s="23">
        <f>E7*0.00000000000001157407</f>
        <v>1.157407E-14</v>
      </c>
      <c r="K7" s="23">
        <f>E7*0.000000000000001653439</f>
        <v>1.653439E-15</v>
      </c>
      <c r="L7" s="23">
        <f>E7*0.0000000000000008267196</f>
        <v>8.267196E-16</v>
      </c>
      <c r="M7" s="23">
        <f>E7*0.00000000000000003170979</f>
        <v>3.170979E-17</v>
      </c>
      <c r="N7" s="23">
        <f>E7*0.0000000000000000003170979</f>
        <v>3.170979E-19</v>
      </c>
      <c r="O7" s="3"/>
    </row>
    <row r="8" spans="2:15" ht="12.75">
      <c r="B8" s="3" t="s">
        <v>172</v>
      </c>
      <c r="C8" s="4">
        <v>1</v>
      </c>
      <c r="D8" s="3"/>
      <c r="E8" s="23">
        <f>C8/0.000001</f>
        <v>1000000</v>
      </c>
      <c r="F8" s="23">
        <f aca="true" t="shared" si="0" ref="F8:F16">E8*0.000001</f>
        <v>1</v>
      </c>
      <c r="G8" s="23">
        <f aca="true" t="shared" si="1" ref="G8:G16">E8*0.000000001</f>
        <v>0.001</v>
      </c>
      <c r="H8" s="23">
        <f aca="true" t="shared" si="2" ref="H8:H16">E8*0.00000000001666667</f>
        <v>1.666667E-05</v>
      </c>
      <c r="I8" s="23">
        <f aca="true" t="shared" si="3" ref="I8:I16">E8*0.0000000000002777778</f>
        <v>2.777778E-07</v>
      </c>
      <c r="J8" s="23">
        <f aca="true" t="shared" si="4" ref="J8:J16">E8*0.00000000000001157407</f>
        <v>1.157407E-08</v>
      </c>
      <c r="K8" s="23">
        <f aca="true" t="shared" si="5" ref="K8:K16">E8*0.000000000000001653439</f>
        <v>1.6534390000000001E-09</v>
      </c>
      <c r="L8" s="23">
        <f aca="true" t="shared" si="6" ref="L8:L16">E8*0.0000000000000008267196</f>
        <v>8.267196E-10</v>
      </c>
      <c r="M8" s="23">
        <f aca="true" t="shared" si="7" ref="M8:M16">E8*0.00000000000000003170979</f>
        <v>3.170979E-11</v>
      </c>
      <c r="N8" s="23">
        <f aca="true" t="shared" si="8" ref="N8:N16">E8*0.0000000000000000003170979</f>
        <v>3.1709790000000003E-13</v>
      </c>
      <c r="O8" s="3"/>
    </row>
    <row r="9" spans="2:15" ht="12.75">
      <c r="B9" s="3" t="s">
        <v>174</v>
      </c>
      <c r="C9" s="4">
        <v>1</v>
      </c>
      <c r="D9" s="3"/>
      <c r="E9" s="23">
        <f>C9/0.000000001</f>
        <v>999999999.9999999</v>
      </c>
      <c r="F9" s="23">
        <f t="shared" si="0"/>
        <v>999.9999999999999</v>
      </c>
      <c r="G9" s="23">
        <f t="shared" si="1"/>
        <v>0.9999999999999999</v>
      </c>
      <c r="H9" s="23">
        <f t="shared" si="2"/>
        <v>0.016666669999999998</v>
      </c>
      <c r="I9" s="23">
        <f t="shared" si="3"/>
        <v>0.00027777779999999994</v>
      </c>
      <c r="J9" s="23">
        <f t="shared" si="4"/>
        <v>1.157407E-05</v>
      </c>
      <c r="K9" s="23">
        <f t="shared" si="5"/>
        <v>1.653439E-06</v>
      </c>
      <c r="L9" s="23">
        <f t="shared" si="6"/>
        <v>8.267195999999999E-07</v>
      </c>
      <c r="M9" s="23">
        <f t="shared" si="7"/>
        <v>3.1709789999999997E-08</v>
      </c>
      <c r="N9" s="23">
        <f t="shared" si="8"/>
        <v>3.1709789999999997E-10</v>
      </c>
      <c r="O9" s="3"/>
    </row>
    <row r="10" spans="2:15" ht="12.75">
      <c r="B10" s="3" t="s">
        <v>173</v>
      </c>
      <c r="C10" s="4">
        <v>1</v>
      </c>
      <c r="D10" s="3"/>
      <c r="E10" s="23">
        <f>C10/0.00000000001666667</f>
        <v>59999988000.0024</v>
      </c>
      <c r="F10" s="23">
        <f t="shared" si="0"/>
        <v>59999.9880000024</v>
      </c>
      <c r="G10" s="23">
        <f t="shared" si="1"/>
        <v>59.9999880000024</v>
      </c>
      <c r="H10" s="23">
        <f t="shared" si="2"/>
        <v>1</v>
      </c>
      <c r="I10" s="23">
        <f t="shared" si="3"/>
        <v>0.016666664666667066</v>
      </c>
      <c r="J10" s="23">
        <f t="shared" si="4"/>
        <v>0.0006944440611111878</v>
      </c>
      <c r="K10" s="23">
        <f t="shared" si="5"/>
        <v>9.920632015873597E-05</v>
      </c>
      <c r="L10" s="23">
        <f t="shared" si="6"/>
        <v>4.960316607936679E-05</v>
      </c>
      <c r="M10" s="23">
        <f t="shared" si="7"/>
        <v>1.9025870194825964E-06</v>
      </c>
      <c r="N10" s="23">
        <f t="shared" si="8"/>
        <v>1.902587019482596E-08</v>
      </c>
      <c r="O10" s="3"/>
    </row>
    <row r="11" spans="2:15" ht="12.75">
      <c r="B11" s="3" t="s">
        <v>170</v>
      </c>
      <c r="C11" s="4">
        <v>1</v>
      </c>
      <c r="D11" s="3"/>
      <c r="E11" s="23">
        <f>C11/0.0000000000002777778</f>
        <v>3599999712000.023</v>
      </c>
      <c r="F11" s="23">
        <f t="shared" si="0"/>
        <v>3599999.7120000226</v>
      </c>
      <c r="G11" s="23">
        <f t="shared" si="1"/>
        <v>3599.999712000023</v>
      </c>
      <c r="H11" s="23">
        <f t="shared" si="2"/>
        <v>60.00000719999942</v>
      </c>
      <c r="I11" s="23">
        <f t="shared" si="3"/>
        <v>1</v>
      </c>
      <c r="J11" s="23">
        <f t="shared" si="4"/>
        <v>0.04166664866666811</v>
      </c>
      <c r="K11" s="23">
        <f t="shared" si="5"/>
        <v>0.005952379923809606</v>
      </c>
      <c r="L11" s="23">
        <f t="shared" si="6"/>
        <v>0.002976190321904774</v>
      </c>
      <c r="M11" s="23">
        <f t="shared" si="7"/>
        <v>0.00011415523486758122</v>
      </c>
      <c r="N11" s="23">
        <f t="shared" si="8"/>
        <v>1.1415523486758122E-06</v>
      </c>
      <c r="O11" s="3"/>
    </row>
    <row r="12" spans="2:15" ht="12.75">
      <c r="B12" s="3" t="s">
        <v>168</v>
      </c>
      <c r="C12" s="4">
        <v>1</v>
      </c>
      <c r="D12" s="3"/>
      <c r="E12" s="23">
        <f>C12/0.00000000000001157407</f>
        <v>86400030412810.7</v>
      </c>
      <c r="F12" s="23">
        <f t="shared" si="0"/>
        <v>86400030.4128107</v>
      </c>
      <c r="G12" s="23">
        <f t="shared" si="1"/>
        <v>86400.03041281071</v>
      </c>
      <c r="H12" s="23">
        <f t="shared" si="2"/>
        <v>1440.0007948802797</v>
      </c>
      <c r="I12" s="23">
        <f t="shared" si="3"/>
        <v>24.00001036800365</v>
      </c>
      <c r="J12" s="23">
        <f t="shared" si="4"/>
        <v>1</v>
      </c>
      <c r="K12" s="23">
        <f t="shared" si="5"/>
        <v>0.14285717988572733</v>
      </c>
      <c r="L12" s="23">
        <f t="shared" si="6"/>
        <v>0.0714285985828667</v>
      </c>
      <c r="M12" s="23">
        <f t="shared" si="7"/>
        <v>0.0027397268203838408</v>
      </c>
      <c r="N12" s="23">
        <f t="shared" si="8"/>
        <v>2.739726820383841E-05</v>
      </c>
      <c r="O12" s="3"/>
    </row>
    <row r="13" spans="2:15" ht="12.75">
      <c r="B13" s="3" t="s">
        <v>175</v>
      </c>
      <c r="C13" s="4">
        <v>1</v>
      </c>
      <c r="D13" s="3"/>
      <c r="E13" s="23">
        <f>C13/0.000000000000001653439</f>
        <v>604800056125445.1</v>
      </c>
      <c r="F13" s="23">
        <f t="shared" si="0"/>
        <v>604800056.1254451</v>
      </c>
      <c r="G13" s="23">
        <f t="shared" si="1"/>
        <v>604800.0561254452</v>
      </c>
      <c r="H13" s="23">
        <f t="shared" si="2"/>
        <v>10080.002951424272</v>
      </c>
      <c r="I13" s="23">
        <f t="shared" si="3"/>
        <v>168.00002903040266</v>
      </c>
      <c r="J13" s="23">
        <f t="shared" si="4"/>
        <v>6.999998185599831</v>
      </c>
      <c r="K13" s="23">
        <f t="shared" si="5"/>
        <v>0.9999999999999999</v>
      </c>
      <c r="L13" s="23">
        <f t="shared" si="6"/>
        <v>0.5000000604800056</v>
      </c>
      <c r="M13" s="23">
        <f t="shared" si="7"/>
        <v>0.01917808277172608</v>
      </c>
      <c r="N13" s="23">
        <f t="shared" si="8"/>
        <v>0.0001917808277172608</v>
      </c>
      <c r="O13" s="3"/>
    </row>
    <row r="14" spans="2:15" ht="12.75">
      <c r="B14" s="3" t="s">
        <v>169</v>
      </c>
      <c r="C14" s="4">
        <v>1</v>
      </c>
      <c r="D14" s="3"/>
      <c r="E14" s="23">
        <f>C14/0.0000000000000008267196</f>
        <v>1209599965937665</v>
      </c>
      <c r="F14" s="23">
        <f t="shared" si="0"/>
        <v>1209599965.937665</v>
      </c>
      <c r="G14" s="23">
        <f t="shared" si="1"/>
        <v>1209599.965937665</v>
      </c>
      <c r="H14" s="23">
        <f t="shared" si="2"/>
        <v>20160.003464294303</v>
      </c>
      <c r="I14" s="23">
        <f t="shared" si="3"/>
        <v>336.0000174182395</v>
      </c>
      <c r="J14" s="23">
        <f t="shared" si="4"/>
        <v>13.999994677760151</v>
      </c>
      <c r="K14" s="23">
        <f t="shared" si="5"/>
        <v>1.999999758080007</v>
      </c>
      <c r="L14" s="23">
        <f t="shared" si="6"/>
        <v>1</v>
      </c>
      <c r="M14" s="23">
        <f t="shared" si="7"/>
        <v>0.03835616090389051</v>
      </c>
      <c r="N14" s="23">
        <f t="shared" si="8"/>
        <v>0.0003835616090389051</v>
      </c>
      <c r="O14" s="3"/>
    </row>
    <row r="15" spans="2:15" ht="12.75">
      <c r="B15" s="3" t="s">
        <v>171</v>
      </c>
      <c r="C15" s="4">
        <v>1</v>
      </c>
      <c r="D15" s="3"/>
      <c r="E15" s="23">
        <f>C15/0.00000000000000003170979</f>
        <v>31536001972892280</v>
      </c>
      <c r="F15" s="23">
        <f t="shared" si="0"/>
        <v>31536001972.892277</v>
      </c>
      <c r="G15" s="23">
        <f t="shared" si="1"/>
        <v>31536001.97289228</v>
      </c>
      <c r="H15" s="23">
        <f t="shared" si="2"/>
        <v>525600.1380015445</v>
      </c>
      <c r="I15" s="23">
        <f t="shared" si="3"/>
        <v>8760.001248825676</v>
      </c>
      <c r="J15" s="23">
        <f t="shared" si="4"/>
        <v>364.99989435439335</v>
      </c>
      <c r="K15" s="23">
        <f t="shared" si="5"/>
        <v>52.142855566057044</v>
      </c>
      <c r="L15" s="23">
        <f t="shared" si="6"/>
        <v>26.07143093662872</v>
      </c>
      <c r="M15" s="23">
        <f t="shared" si="7"/>
        <v>1</v>
      </c>
      <c r="N15" s="23">
        <f t="shared" si="8"/>
        <v>0.01</v>
      </c>
      <c r="O15" s="3"/>
    </row>
    <row r="16" spans="2:15" ht="12.75">
      <c r="B16" s="3" t="s">
        <v>167</v>
      </c>
      <c r="C16" s="4">
        <v>1</v>
      </c>
      <c r="D16" s="3"/>
      <c r="E16" s="23">
        <f>C16/0.0000000000000000003170979</f>
        <v>3.1536001972892283E+18</v>
      </c>
      <c r="F16" s="23">
        <f t="shared" si="0"/>
        <v>3153600197289.228</v>
      </c>
      <c r="G16" s="23">
        <f t="shared" si="1"/>
        <v>3153600197.2892284</v>
      </c>
      <c r="H16" s="23">
        <f t="shared" si="2"/>
        <v>52560013.80015446</v>
      </c>
      <c r="I16" s="23">
        <f t="shared" si="3"/>
        <v>876000.1248825678</v>
      </c>
      <c r="J16" s="23">
        <f t="shared" si="4"/>
        <v>36499.98943543934</v>
      </c>
      <c r="K16" s="23">
        <f t="shared" si="5"/>
        <v>5214.285556605704</v>
      </c>
      <c r="L16" s="23">
        <f t="shared" si="6"/>
        <v>2607.143093662872</v>
      </c>
      <c r="M16" s="23">
        <f t="shared" si="7"/>
        <v>100</v>
      </c>
      <c r="N16" s="23">
        <f t="shared" si="8"/>
        <v>1</v>
      </c>
      <c r="O16" s="3"/>
    </row>
    <row r="17" spans="2:1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21" spans="2:17" ht="12.75">
      <c r="B21" s="18" t="s">
        <v>177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2:17" ht="12.75"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</row>
    <row r="23" spans="2:17" ht="12.75">
      <c r="B23" s="19" t="s">
        <v>176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</row>
    <row r="30" ht="12.75">
      <c r="C30" s="20"/>
    </row>
  </sheetData>
  <sheetProtection password="87CD"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3:Q16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6384" width="9.140625" style="94" customWidth="1"/>
  </cols>
  <sheetData>
    <row r="2" ht="13.5" thickBot="1"/>
    <row r="3" spans="3:17" ht="20.25">
      <c r="C3" s="95" t="s">
        <v>207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97"/>
      <c r="P3" s="98"/>
      <c r="Q3" s="99"/>
    </row>
    <row r="4" spans="3:17" ht="20.25"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03"/>
    </row>
    <row r="5" spans="3:17" ht="20.25">
      <c r="C5" s="104" t="s">
        <v>211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03"/>
    </row>
    <row r="6" spans="3:17" ht="20.25"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103"/>
    </row>
    <row r="7" spans="3:17" ht="20.25">
      <c r="C7" s="100" t="s">
        <v>208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  <c r="Q7" s="103"/>
    </row>
    <row r="8" spans="3:17" ht="20.25">
      <c r="C8" s="100"/>
      <c r="D8" s="105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2"/>
      <c r="Q8" s="103"/>
    </row>
    <row r="9" spans="3:17" ht="20.25">
      <c r="C9" s="104" t="s">
        <v>212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  <c r="Q9" s="103"/>
    </row>
    <row r="10" spans="3:17" ht="20.25">
      <c r="C10" s="100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103"/>
    </row>
    <row r="11" spans="3:17" ht="20.25">
      <c r="C11" s="106" t="s">
        <v>209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2"/>
      <c r="Q11" s="103"/>
    </row>
    <row r="12" spans="3:17" ht="12.75">
      <c r="C12" s="108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  <row r="13" spans="3:17" ht="20.25">
      <c r="C13" s="109" t="s">
        <v>210</v>
      </c>
      <c r="D13" s="107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3"/>
    </row>
    <row r="14" spans="3:17" ht="12.75">
      <c r="C14" s="108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</row>
    <row r="15" spans="3:17" ht="12.75">
      <c r="C15" s="108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</row>
    <row r="16" spans="3:17" ht="13.5" thickBot="1"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2"/>
    </row>
  </sheetData>
  <sheetProtection password="87CD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R45"/>
  <sheetViews>
    <sheetView showGridLines="0" zoomScalePageLayoutView="0" workbookViewId="0" topLeftCell="A1">
      <selection activeCell="P9" sqref="P9"/>
    </sheetView>
  </sheetViews>
  <sheetFormatPr defaultColWidth="9.140625" defaultRowHeight="12.75"/>
  <cols>
    <col min="1" max="2" width="9.140625" style="27" customWidth="1"/>
    <col min="3" max="3" width="12.140625" style="27" customWidth="1"/>
    <col min="4" max="16384" width="9.140625" style="27" customWidth="1"/>
  </cols>
  <sheetData>
    <row r="3" spans="2:8" ht="30">
      <c r="B3" s="57" t="s">
        <v>18</v>
      </c>
      <c r="C3" s="58"/>
      <c r="D3" s="58"/>
      <c r="E3" s="58"/>
      <c r="F3" s="58"/>
      <c r="G3" s="58"/>
      <c r="H3" s="59"/>
    </row>
    <row r="4" spans="2:8" ht="21" customHeight="1">
      <c r="B4" s="60" t="s">
        <v>19</v>
      </c>
      <c r="C4" s="61"/>
      <c r="D4" s="61"/>
      <c r="E4" s="61"/>
      <c r="F4" s="61"/>
      <c r="G4" s="61"/>
      <c r="H4" s="62"/>
    </row>
    <row r="5" ht="12.75" customHeight="1">
      <c r="B5" s="63"/>
    </row>
    <row r="6" spans="2:14" ht="12.75">
      <c r="B6" s="64" t="s">
        <v>100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</row>
    <row r="7" spans="2:14" ht="12.75">
      <c r="B7" s="65" t="s">
        <v>180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2:14" ht="12.75">
      <c r="B8" s="65" t="s">
        <v>182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</row>
    <row r="9" spans="2:14" ht="12.75">
      <c r="B9" s="65" t="s">
        <v>181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</row>
    <row r="10" spans="2:14" ht="12.75">
      <c r="B10" s="6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0"/>
    </row>
    <row r="11" spans="2:14" ht="12.75">
      <c r="B11" s="65" t="s">
        <v>190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2:14" ht="12.75">
      <c r="B12" s="65" t="s">
        <v>191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  <row r="13" spans="2:14" ht="12.75">
      <c r="B13" s="65" t="s">
        <v>192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</row>
    <row r="14" spans="2:14" ht="12.75">
      <c r="B14" s="6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</row>
    <row r="15" spans="2:14" ht="12.75">
      <c r="B15" s="6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</row>
    <row r="16" ht="12.75">
      <c r="O16" s="67"/>
    </row>
    <row r="17" spans="2:18" ht="12.75">
      <c r="B17" s="68"/>
      <c r="C17" s="6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</row>
    <row r="18" spans="2:18" ht="12.75">
      <c r="B18" s="70" t="s">
        <v>83</v>
      </c>
      <c r="C18" s="71"/>
      <c r="D18" s="7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</row>
    <row r="19" spans="2:18" ht="12.75">
      <c r="B19" s="72"/>
      <c r="C19" s="71" t="s">
        <v>101</v>
      </c>
      <c r="D19" s="52" t="s">
        <v>201</v>
      </c>
      <c r="E19" s="52"/>
      <c r="F19" s="52"/>
      <c r="G19" s="52"/>
      <c r="H19" s="52"/>
      <c r="I19" s="39" t="s">
        <v>202</v>
      </c>
      <c r="J19" s="39"/>
      <c r="K19" s="39"/>
      <c r="L19" s="39"/>
      <c r="M19" s="39"/>
      <c r="N19" s="39"/>
      <c r="O19" s="39"/>
      <c r="P19" s="39"/>
      <c r="Q19" s="39"/>
      <c r="R19" s="40"/>
    </row>
    <row r="20" spans="2:18" ht="14.25">
      <c r="B20" s="72"/>
      <c r="C20" s="71" t="s">
        <v>20</v>
      </c>
      <c r="D20" s="52" t="s">
        <v>199</v>
      </c>
      <c r="E20" s="52"/>
      <c r="F20" s="52"/>
      <c r="G20" s="52"/>
      <c r="H20" s="52"/>
      <c r="I20" s="39" t="s">
        <v>200</v>
      </c>
      <c r="J20" s="39"/>
      <c r="K20" s="39"/>
      <c r="L20" s="39"/>
      <c r="M20" s="39"/>
      <c r="N20" s="39"/>
      <c r="O20" s="39"/>
      <c r="P20" s="39"/>
      <c r="Q20" s="39"/>
      <c r="R20" s="40"/>
    </row>
    <row r="21" spans="2:18" ht="14.25">
      <c r="B21" s="72"/>
      <c r="C21" s="71" t="s">
        <v>21</v>
      </c>
      <c r="D21" s="52" t="s">
        <v>197</v>
      </c>
      <c r="E21" s="52"/>
      <c r="F21" s="52"/>
      <c r="G21" s="52"/>
      <c r="H21" s="52"/>
      <c r="I21" s="39" t="s">
        <v>198</v>
      </c>
      <c r="J21" s="39"/>
      <c r="K21" s="39"/>
      <c r="L21" s="39"/>
      <c r="M21" s="39"/>
      <c r="N21" s="39"/>
      <c r="O21" s="39"/>
      <c r="P21" s="39"/>
      <c r="Q21" s="39"/>
      <c r="R21" s="40"/>
    </row>
    <row r="22" spans="2:18" ht="12.75">
      <c r="B22" s="73"/>
      <c r="C22" s="71" t="s">
        <v>84</v>
      </c>
      <c r="D22" s="52" t="s">
        <v>195</v>
      </c>
      <c r="E22" s="52"/>
      <c r="F22" s="52"/>
      <c r="G22" s="52"/>
      <c r="H22" s="52"/>
      <c r="I22" s="39" t="s">
        <v>196</v>
      </c>
      <c r="J22" s="39"/>
      <c r="K22" s="39"/>
      <c r="L22" s="39"/>
      <c r="M22" s="39"/>
      <c r="N22" s="39"/>
      <c r="O22" s="39"/>
      <c r="P22" s="39"/>
      <c r="Q22" s="39"/>
      <c r="R22" s="40"/>
    </row>
    <row r="23" spans="2:18" ht="12.75">
      <c r="B23" s="72"/>
      <c r="C23" s="71" t="s">
        <v>22</v>
      </c>
      <c r="D23" s="52" t="s">
        <v>193</v>
      </c>
      <c r="E23" s="52"/>
      <c r="F23" s="52"/>
      <c r="H23" s="74"/>
      <c r="I23" s="39" t="s">
        <v>194</v>
      </c>
      <c r="J23" s="39"/>
      <c r="K23" s="39"/>
      <c r="L23" s="39"/>
      <c r="M23" s="39"/>
      <c r="N23" s="39"/>
      <c r="O23" s="39"/>
      <c r="P23" s="39"/>
      <c r="Q23" s="39"/>
      <c r="R23" s="40"/>
    </row>
    <row r="24" spans="2:18" ht="12.75">
      <c r="B24" s="72"/>
      <c r="C24" s="75" t="s">
        <v>108</v>
      </c>
      <c r="D24" s="39" t="s">
        <v>109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ht="12.75">
      <c r="B25" s="72"/>
      <c r="C25" s="75" t="s">
        <v>125</v>
      </c>
      <c r="D25" s="39" t="s">
        <v>126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</row>
    <row r="26" spans="2:18" ht="12.75">
      <c r="B26" s="72"/>
      <c r="C26" s="75" t="s">
        <v>138</v>
      </c>
      <c r="D26" s="75" t="s">
        <v>139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</row>
    <row r="27" spans="2:18" ht="12.75">
      <c r="B27" s="72"/>
      <c r="C27" s="75" t="s">
        <v>183</v>
      </c>
      <c r="D27" s="75" t="s">
        <v>185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</row>
    <row r="28" spans="2:18" ht="12.75">
      <c r="B28" s="72"/>
      <c r="C28" s="75" t="s">
        <v>184</v>
      </c>
      <c r="D28" s="75" t="s">
        <v>186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7"/>
    </row>
    <row r="29" spans="2:18" ht="12.75">
      <c r="B29" s="72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9"/>
    </row>
    <row r="30" spans="2:18" ht="12.75">
      <c r="B30" s="72"/>
      <c r="C30" s="80" t="s">
        <v>203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2"/>
      <c r="Q30" s="83"/>
      <c r="R30" s="84"/>
    </row>
    <row r="31" spans="2:18" ht="12.75"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7"/>
      <c r="Q31" s="87"/>
      <c r="R31" s="88"/>
    </row>
    <row r="32" ht="12.75">
      <c r="O32" s="67"/>
    </row>
    <row r="33" spans="2:18" ht="12.75">
      <c r="B33" s="8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/>
    </row>
    <row r="34" spans="2:18" ht="12.75">
      <c r="B34" s="42"/>
      <c r="C34" s="39" t="s">
        <v>204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</row>
    <row r="35" spans="2:18" ht="12.75">
      <c r="B35" s="42"/>
      <c r="C35" s="39" t="s">
        <v>205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</row>
    <row r="36" spans="2:18" ht="12.75">
      <c r="B36" s="42"/>
      <c r="C36" s="39" t="s">
        <v>206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2:18" ht="12.75">
      <c r="B37" s="90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7"/>
    </row>
    <row r="38" spans="6:9" ht="12.75">
      <c r="F38" s="67"/>
      <c r="G38" s="67"/>
      <c r="H38" s="67"/>
      <c r="I38" s="67"/>
    </row>
    <row r="39" spans="6:9" ht="12.75">
      <c r="F39" s="67"/>
      <c r="G39" s="67"/>
      <c r="H39" s="67"/>
      <c r="I39" s="67"/>
    </row>
    <row r="40" spans="6:9" ht="12.75">
      <c r="F40" s="67"/>
      <c r="G40" s="67"/>
      <c r="H40" s="67"/>
      <c r="I40" s="67"/>
    </row>
    <row r="41" spans="6:9" ht="12.75">
      <c r="F41" s="67"/>
      <c r="G41" s="67"/>
      <c r="H41" s="67"/>
      <c r="I41" s="67"/>
    </row>
    <row r="42" spans="6:9" ht="12.75">
      <c r="F42" s="67"/>
      <c r="G42" s="67"/>
      <c r="H42" s="67"/>
      <c r="I42" s="67"/>
    </row>
    <row r="43" spans="6:9" ht="12.75">
      <c r="F43" s="67"/>
      <c r="G43" s="67"/>
      <c r="H43" s="67"/>
      <c r="I43" s="67"/>
    </row>
    <row r="44" spans="6:9" ht="12.75">
      <c r="F44" s="67"/>
      <c r="G44" s="67"/>
      <c r="H44" s="67"/>
      <c r="I44" s="67"/>
    </row>
    <row r="45" spans="6:9" ht="12.75">
      <c r="F45" s="67"/>
      <c r="G45" s="67"/>
      <c r="H45" s="67"/>
      <c r="I45" s="67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U23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2" max="2" width="14.140625" style="0" customWidth="1"/>
    <col min="3" max="3" width="8.57421875" style="0" customWidth="1"/>
    <col min="4" max="4" width="4.140625" style="0" customWidth="1"/>
    <col min="5" max="5" width="9.7109375" style="0" customWidth="1"/>
    <col min="6" max="15" width="12.421875" style="0" bestFit="1" customWidth="1"/>
    <col min="16" max="16" width="12.7109375" style="0" bestFit="1" customWidth="1"/>
    <col min="17" max="20" width="12.421875" style="0" bestFit="1" customWidth="1"/>
  </cols>
  <sheetData>
    <row r="5" spans="2:9" ht="12.75">
      <c r="B5" s="2" t="s">
        <v>98</v>
      </c>
      <c r="C5" s="3"/>
      <c r="D5" s="3"/>
      <c r="E5" s="2" t="s">
        <v>23</v>
      </c>
      <c r="F5" s="2"/>
      <c r="G5" s="2"/>
      <c r="H5" s="2"/>
      <c r="I5" s="2"/>
    </row>
    <row r="6" spans="2:21" ht="12.75">
      <c r="B6" s="3"/>
      <c r="C6" s="3"/>
      <c r="D6" s="3"/>
      <c r="E6" s="3" t="s">
        <v>24</v>
      </c>
      <c r="F6" s="3" t="s">
        <v>38</v>
      </c>
      <c r="G6" s="3" t="s">
        <v>47</v>
      </c>
      <c r="H6" s="3" t="s">
        <v>94</v>
      </c>
      <c r="I6" s="3" t="s">
        <v>39</v>
      </c>
      <c r="J6" s="3" t="s">
        <v>48</v>
      </c>
      <c r="K6" s="3" t="s">
        <v>41</v>
      </c>
      <c r="L6" s="3" t="s">
        <v>49</v>
      </c>
      <c r="M6" s="3" t="s">
        <v>50</v>
      </c>
      <c r="N6" s="3" t="s">
        <v>51</v>
      </c>
      <c r="O6" s="3" t="s">
        <v>43</v>
      </c>
      <c r="P6" s="3" t="s">
        <v>44</v>
      </c>
      <c r="Q6" s="3" t="s">
        <v>45</v>
      </c>
      <c r="R6" s="3" t="s">
        <v>46</v>
      </c>
      <c r="S6" s="3" t="s">
        <v>96</v>
      </c>
      <c r="T6" s="3" t="s">
        <v>97</v>
      </c>
      <c r="U6" s="3"/>
    </row>
    <row r="7" spans="2:21" ht="12.75">
      <c r="B7" s="3" t="s">
        <v>24</v>
      </c>
      <c r="C7" s="4">
        <v>1</v>
      </c>
      <c r="D7" s="3"/>
      <c r="E7" s="5">
        <f>C7</f>
        <v>1</v>
      </c>
      <c r="F7" s="5">
        <f>E7/12</f>
        <v>0.08333333333333333</v>
      </c>
      <c r="G7" s="5">
        <f>E7/36</f>
        <v>0.027777777777777776</v>
      </c>
      <c r="H7" s="5">
        <f>E7/63360</f>
        <v>1.5782828282828283E-05</v>
      </c>
      <c r="I7" s="5">
        <f>E7*25.4</f>
        <v>25.4</v>
      </c>
      <c r="J7" s="5">
        <f>E7*2.54</f>
        <v>2.54</v>
      </c>
      <c r="K7" s="22">
        <f>E7*0.0254</f>
        <v>0.0254</v>
      </c>
      <c r="L7" s="22">
        <f>E7*25400</f>
        <v>25400</v>
      </c>
      <c r="M7" s="22">
        <f>E7*25400000</f>
        <v>25400000</v>
      </c>
      <c r="N7" s="22">
        <f>E7*1000</f>
        <v>1000</v>
      </c>
      <c r="O7" s="22">
        <f>E7/7920</f>
        <v>0.00012626262626262626</v>
      </c>
      <c r="P7" s="22">
        <f>E7*0.00001371487</f>
        <v>1.371487E-05</v>
      </c>
      <c r="Q7" s="22">
        <f>E7*0.00000000000000000268484</f>
        <v>2.68484E-18</v>
      </c>
      <c r="R7" s="22">
        <f>E7*0.0000000000000000008231588</f>
        <v>8.231588E-19</v>
      </c>
      <c r="S7" s="22">
        <f>E7/72</f>
        <v>0.013888888888888888</v>
      </c>
      <c r="T7" s="22">
        <f>E7/198</f>
        <v>0.005050505050505051</v>
      </c>
      <c r="U7" s="3"/>
    </row>
    <row r="8" spans="2:21" ht="12.75">
      <c r="B8" s="3" t="s">
        <v>38</v>
      </c>
      <c r="C8" s="21">
        <v>1</v>
      </c>
      <c r="D8" s="3"/>
      <c r="E8" s="5">
        <f>C8*12</f>
        <v>12</v>
      </c>
      <c r="F8" s="5">
        <f aca="true" t="shared" si="0" ref="F8:F22">E8/12</f>
        <v>1</v>
      </c>
      <c r="G8" s="5">
        <f aca="true" t="shared" si="1" ref="G8:G22">E8/36</f>
        <v>0.3333333333333333</v>
      </c>
      <c r="H8" s="5">
        <f aca="true" t="shared" si="2" ref="H8:H22">E8/63360</f>
        <v>0.0001893939393939394</v>
      </c>
      <c r="I8" s="5">
        <f aca="true" t="shared" si="3" ref="I8:I22">E8*25.4</f>
        <v>304.79999999999995</v>
      </c>
      <c r="J8" s="5">
        <f aca="true" t="shared" si="4" ref="J8:J22">E8*2.54</f>
        <v>30.48</v>
      </c>
      <c r="K8" s="22">
        <f aca="true" t="shared" si="5" ref="K8:K22">E8*0.0254</f>
        <v>0.30479999999999996</v>
      </c>
      <c r="L8" s="22">
        <f aca="true" t="shared" si="6" ref="L8:L22">E8*25400</f>
        <v>304800</v>
      </c>
      <c r="M8" s="22">
        <f aca="true" t="shared" si="7" ref="M8:M22">E8*25400000</f>
        <v>304800000</v>
      </c>
      <c r="N8" s="22">
        <f aca="true" t="shared" si="8" ref="N8:N22">E8*1000</f>
        <v>12000</v>
      </c>
      <c r="O8" s="22">
        <f aca="true" t="shared" si="9" ref="O8:O22">E8/7920</f>
        <v>0.0015151515151515152</v>
      </c>
      <c r="P8" s="22">
        <f aca="true" t="shared" si="10" ref="P8:P22">E8*0.00001371487</f>
        <v>0.00016457844</v>
      </c>
      <c r="Q8" s="22">
        <f aca="true" t="shared" si="11" ref="Q8:Q22">E8*0.00000000000000000268484</f>
        <v>3.221808E-17</v>
      </c>
      <c r="R8" s="22">
        <f aca="true" t="shared" si="12" ref="R8:R22">E8*0.0000000000000000008231588</f>
        <v>9.8779056E-18</v>
      </c>
      <c r="S8" s="22">
        <f aca="true" t="shared" si="13" ref="S8:S22">E8/72</f>
        <v>0.16666666666666666</v>
      </c>
      <c r="T8" s="22">
        <f aca="true" t="shared" si="14" ref="T8:T22">E8/198</f>
        <v>0.06060606060606061</v>
      </c>
      <c r="U8" s="3"/>
    </row>
    <row r="9" spans="2:21" ht="12.75">
      <c r="B9" s="3" t="s">
        <v>47</v>
      </c>
      <c r="C9" s="4">
        <v>1</v>
      </c>
      <c r="D9" s="3"/>
      <c r="E9" s="5">
        <f>C9*36</f>
        <v>36</v>
      </c>
      <c r="F9" s="5">
        <f t="shared" si="0"/>
        <v>3</v>
      </c>
      <c r="G9" s="5">
        <f t="shared" si="1"/>
        <v>1</v>
      </c>
      <c r="H9" s="5">
        <f t="shared" si="2"/>
        <v>0.0005681818181818182</v>
      </c>
      <c r="I9" s="5">
        <f t="shared" si="3"/>
        <v>914.4</v>
      </c>
      <c r="J9" s="5">
        <f t="shared" si="4"/>
        <v>91.44</v>
      </c>
      <c r="K9" s="22">
        <f t="shared" si="5"/>
        <v>0.9144</v>
      </c>
      <c r="L9" s="22">
        <f t="shared" si="6"/>
        <v>914400</v>
      </c>
      <c r="M9" s="22">
        <f t="shared" si="7"/>
        <v>914400000</v>
      </c>
      <c r="N9" s="22">
        <f t="shared" si="8"/>
        <v>36000</v>
      </c>
      <c r="O9" s="22">
        <f t="shared" si="9"/>
        <v>0.004545454545454545</v>
      </c>
      <c r="P9" s="22">
        <f t="shared" si="10"/>
        <v>0.0004937353199999999</v>
      </c>
      <c r="Q9" s="22">
        <f t="shared" si="11"/>
        <v>9.665423999999999E-17</v>
      </c>
      <c r="R9" s="22">
        <f t="shared" si="12"/>
        <v>2.96337168E-17</v>
      </c>
      <c r="S9" s="22">
        <f t="shared" si="13"/>
        <v>0.5</v>
      </c>
      <c r="T9" s="22">
        <f t="shared" si="14"/>
        <v>0.18181818181818182</v>
      </c>
      <c r="U9" s="3"/>
    </row>
    <row r="10" spans="2:21" ht="12.75">
      <c r="B10" s="3" t="s">
        <v>94</v>
      </c>
      <c r="C10" s="4">
        <v>1</v>
      </c>
      <c r="D10" s="3"/>
      <c r="E10" s="5">
        <f>C10*63360</f>
        <v>63360</v>
      </c>
      <c r="F10" s="5">
        <f t="shared" si="0"/>
        <v>5280</v>
      </c>
      <c r="G10" s="5">
        <f t="shared" si="1"/>
        <v>1760</v>
      </c>
      <c r="H10" s="5">
        <f t="shared" si="2"/>
        <v>1</v>
      </c>
      <c r="I10" s="5">
        <f t="shared" si="3"/>
        <v>1609344</v>
      </c>
      <c r="J10" s="5">
        <f t="shared" si="4"/>
        <v>160934.4</v>
      </c>
      <c r="K10" s="22">
        <f t="shared" si="5"/>
        <v>1609.3439999999998</v>
      </c>
      <c r="L10" s="22">
        <f t="shared" si="6"/>
        <v>1609344000</v>
      </c>
      <c r="M10" s="22">
        <f t="shared" si="7"/>
        <v>1609344000000</v>
      </c>
      <c r="N10" s="22">
        <f t="shared" si="8"/>
        <v>63360000</v>
      </c>
      <c r="O10" s="22">
        <f t="shared" si="9"/>
        <v>8</v>
      </c>
      <c r="P10" s="22">
        <f t="shared" si="10"/>
        <v>0.8689741632</v>
      </c>
      <c r="Q10" s="22">
        <f t="shared" si="11"/>
        <v>1.7011146239999998E-13</v>
      </c>
      <c r="R10" s="22">
        <f t="shared" si="12"/>
        <v>5.2155341568E-14</v>
      </c>
      <c r="S10" s="22">
        <f t="shared" si="13"/>
        <v>880</v>
      </c>
      <c r="T10" s="22">
        <f t="shared" si="14"/>
        <v>320</v>
      </c>
      <c r="U10" s="3"/>
    </row>
    <row r="11" spans="2:21" ht="12.75">
      <c r="B11" s="3" t="s">
        <v>39</v>
      </c>
      <c r="C11" s="4">
        <v>1</v>
      </c>
      <c r="D11" s="3"/>
      <c r="E11" s="5">
        <f>C11/25.4</f>
        <v>0.03937007874015748</v>
      </c>
      <c r="F11" s="5">
        <f t="shared" si="0"/>
        <v>0.0032808398950131233</v>
      </c>
      <c r="G11" s="5">
        <f t="shared" si="1"/>
        <v>0.0010936132983377078</v>
      </c>
      <c r="H11" s="5">
        <f t="shared" si="2"/>
        <v>6.21371192237334E-07</v>
      </c>
      <c r="I11" s="5">
        <f t="shared" si="3"/>
        <v>0.9999999999999999</v>
      </c>
      <c r="J11" s="5">
        <f t="shared" si="4"/>
        <v>0.1</v>
      </c>
      <c r="K11" s="22">
        <f t="shared" si="5"/>
        <v>0.001</v>
      </c>
      <c r="L11" s="22">
        <f t="shared" si="6"/>
        <v>1000</v>
      </c>
      <c r="M11" s="22">
        <f t="shared" si="7"/>
        <v>1000000</v>
      </c>
      <c r="N11" s="22">
        <f t="shared" si="8"/>
        <v>39.37007874015748</v>
      </c>
      <c r="O11" s="22">
        <f t="shared" si="9"/>
        <v>4.970969537898672E-06</v>
      </c>
      <c r="P11" s="22">
        <f t="shared" si="10"/>
        <v>5.399555118110236E-07</v>
      </c>
      <c r="Q11" s="22">
        <f t="shared" si="11"/>
        <v>1.057023622047244E-19</v>
      </c>
      <c r="R11" s="22">
        <f t="shared" si="12"/>
        <v>3.240782677165354E-20</v>
      </c>
      <c r="S11" s="22">
        <f t="shared" si="13"/>
        <v>0.0005468066491688539</v>
      </c>
      <c r="T11" s="22">
        <f t="shared" si="14"/>
        <v>0.00019883878151594686</v>
      </c>
      <c r="U11" s="3"/>
    </row>
    <row r="12" spans="2:21" ht="12.75">
      <c r="B12" s="3" t="s">
        <v>40</v>
      </c>
      <c r="C12" s="4">
        <v>1</v>
      </c>
      <c r="D12" s="3"/>
      <c r="E12" s="5">
        <f>C12/2.54</f>
        <v>0.39370078740157477</v>
      </c>
      <c r="F12" s="5">
        <f t="shared" si="0"/>
        <v>0.03280839895013123</v>
      </c>
      <c r="G12" s="5">
        <f>E12/36</f>
        <v>0.010936132983377077</v>
      </c>
      <c r="H12" s="5">
        <f t="shared" si="2"/>
        <v>6.213711922373339E-06</v>
      </c>
      <c r="I12" s="5">
        <f t="shared" si="3"/>
        <v>9.999999999999998</v>
      </c>
      <c r="J12" s="5">
        <f t="shared" si="4"/>
        <v>0.9999999999999999</v>
      </c>
      <c r="K12" s="22">
        <f t="shared" si="5"/>
        <v>0.009999999999999998</v>
      </c>
      <c r="L12" s="22">
        <f t="shared" si="6"/>
        <v>10000</v>
      </c>
      <c r="M12" s="22">
        <f t="shared" si="7"/>
        <v>10000000</v>
      </c>
      <c r="N12" s="22">
        <f t="shared" si="8"/>
        <v>393.70078740157476</v>
      </c>
      <c r="O12" s="22">
        <f t="shared" si="9"/>
        <v>4.9709695378986714E-05</v>
      </c>
      <c r="P12" s="22">
        <f t="shared" si="10"/>
        <v>5.399555118110235E-06</v>
      </c>
      <c r="Q12" s="22">
        <f t="shared" si="11"/>
        <v>1.057023622047244E-18</v>
      </c>
      <c r="R12" s="22">
        <f t="shared" si="12"/>
        <v>3.2407826771653543E-19</v>
      </c>
      <c r="S12" s="22">
        <f t="shared" si="13"/>
        <v>0.005468066491688539</v>
      </c>
      <c r="T12" s="22">
        <f t="shared" si="14"/>
        <v>0.0019883878151594685</v>
      </c>
      <c r="U12" s="3"/>
    </row>
    <row r="13" spans="2:21" ht="12.75">
      <c r="B13" s="3" t="s">
        <v>41</v>
      </c>
      <c r="C13" s="4">
        <v>1</v>
      </c>
      <c r="D13" s="3"/>
      <c r="E13" s="22">
        <f>C13/0.0254</f>
        <v>39.37007874015748</v>
      </c>
      <c r="F13" s="22">
        <f t="shared" si="0"/>
        <v>3.2808398950131235</v>
      </c>
      <c r="G13" s="22">
        <f t="shared" si="1"/>
        <v>1.0936132983377078</v>
      </c>
      <c r="H13" s="22">
        <f t="shared" si="2"/>
        <v>0.000621371192237334</v>
      </c>
      <c r="I13" s="22">
        <f t="shared" si="3"/>
        <v>1000</v>
      </c>
      <c r="J13" s="22">
        <f t="shared" si="4"/>
        <v>100</v>
      </c>
      <c r="K13" s="22">
        <f t="shared" si="5"/>
        <v>1</v>
      </c>
      <c r="L13" s="22">
        <f t="shared" si="6"/>
        <v>1000000</v>
      </c>
      <c r="M13" s="22">
        <f t="shared" si="7"/>
        <v>1000000000</v>
      </c>
      <c r="N13" s="22">
        <f t="shared" si="8"/>
        <v>39370.07874015748</v>
      </c>
      <c r="O13" s="22">
        <f t="shared" si="9"/>
        <v>0.004970969537898672</v>
      </c>
      <c r="P13" s="22">
        <f t="shared" si="10"/>
        <v>0.0005399555118110236</v>
      </c>
      <c r="Q13" s="22">
        <f t="shared" si="11"/>
        <v>1.0570236220472441E-16</v>
      </c>
      <c r="R13" s="22">
        <f t="shared" si="12"/>
        <v>3.240782677165354E-17</v>
      </c>
      <c r="S13" s="22">
        <f t="shared" si="13"/>
        <v>0.5468066491688539</v>
      </c>
      <c r="T13" s="22">
        <f t="shared" si="14"/>
        <v>0.1988387815159469</v>
      </c>
      <c r="U13" s="3"/>
    </row>
    <row r="14" spans="2:21" ht="12.75">
      <c r="B14" s="3" t="s">
        <v>25</v>
      </c>
      <c r="C14" s="4">
        <v>1</v>
      </c>
      <c r="D14" s="3"/>
      <c r="E14" s="22">
        <f>C14/25400</f>
        <v>3.937007874015748E-05</v>
      </c>
      <c r="F14" s="22">
        <f t="shared" si="0"/>
        <v>3.280839895013123E-06</v>
      </c>
      <c r="G14" s="22">
        <f t="shared" si="1"/>
        <v>1.0936132983377078E-06</v>
      </c>
      <c r="H14" s="22">
        <f t="shared" si="2"/>
        <v>6.21371192237334E-10</v>
      </c>
      <c r="I14" s="22">
        <f t="shared" si="3"/>
        <v>0.0009999999999999998</v>
      </c>
      <c r="J14" s="22">
        <f t="shared" si="4"/>
        <v>9.999999999999999E-05</v>
      </c>
      <c r="K14" s="22">
        <f t="shared" si="5"/>
        <v>1E-06</v>
      </c>
      <c r="L14" s="22">
        <f t="shared" si="6"/>
        <v>1</v>
      </c>
      <c r="M14" s="22">
        <f t="shared" si="7"/>
        <v>1000</v>
      </c>
      <c r="N14" s="22">
        <f t="shared" si="8"/>
        <v>0.03937007874015748</v>
      </c>
      <c r="O14" s="22">
        <f t="shared" si="9"/>
        <v>4.970969537898672E-09</v>
      </c>
      <c r="P14" s="22">
        <f t="shared" si="10"/>
        <v>5.399555118110236E-10</v>
      </c>
      <c r="Q14" s="22">
        <f t="shared" si="11"/>
        <v>1.057023622047244E-22</v>
      </c>
      <c r="R14" s="22">
        <f t="shared" si="12"/>
        <v>3.2407826771653544E-23</v>
      </c>
      <c r="S14" s="22">
        <f t="shared" si="13"/>
        <v>5.468066491688539E-07</v>
      </c>
      <c r="T14" s="22">
        <f t="shared" si="14"/>
        <v>1.9883878151594685E-07</v>
      </c>
      <c r="U14" s="3"/>
    </row>
    <row r="15" spans="2:21" ht="12.75">
      <c r="B15" s="3" t="s">
        <v>42</v>
      </c>
      <c r="C15" s="4">
        <v>1</v>
      </c>
      <c r="D15" s="3"/>
      <c r="E15" s="22">
        <f>C15/25400000</f>
        <v>3.937007874015748E-08</v>
      </c>
      <c r="F15" s="22">
        <f t="shared" si="0"/>
        <v>3.2808398950131233E-09</v>
      </c>
      <c r="G15" s="22">
        <f t="shared" si="1"/>
        <v>1.0936132983377077E-09</v>
      </c>
      <c r="H15" s="22">
        <f t="shared" si="2"/>
        <v>6.213711922373339E-13</v>
      </c>
      <c r="I15" s="22">
        <f t="shared" si="3"/>
        <v>1E-06</v>
      </c>
      <c r="J15" s="22">
        <f t="shared" si="4"/>
        <v>1E-07</v>
      </c>
      <c r="K15" s="22">
        <f t="shared" si="5"/>
        <v>9.999999999999999E-10</v>
      </c>
      <c r="L15" s="22">
        <f t="shared" si="6"/>
        <v>0.001</v>
      </c>
      <c r="M15" s="22">
        <f t="shared" si="7"/>
        <v>1</v>
      </c>
      <c r="N15" s="22">
        <f t="shared" si="8"/>
        <v>3.937007874015748E-05</v>
      </c>
      <c r="O15" s="22">
        <f t="shared" si="9"/>
        <v>4.9709695378986715E-12</v>
      </c>
      <c r="P15" s="22">
        <f t="shared" si="10"/>
        <v>5.399555118110236E-13</v>
      </c>
      <c r="Q15" s="22">
        <f t="shared" si="11"/>
        <v>1.057023622047244E-25</v>
      </c>
      <c r="R15" s="22">
        <f t="shared" si="12"/>
        <v>3.240782677165354E-26</v>
      </c>
      <c r="S15" s="22">
        <f t="shared" si="13"/>
        <v>5.468066491688538E-10</v>
      </c>
      <c r="T15" s="22">
        <f t="shared" si="14"/>
        <v>1.9883878151594687E-10</v>
      </c>
      <c r="U15" s="3"/>
    </row>
    <row r="16" spans="2:21" ht="12.75">
      <c r="B16" s="3" t="s">
        <v>99</v>
      </c>
      <c r="C16" s="4">
        <v>1</v>
      </c>
      <c r="D16" s="3"/>
      <c r="E16" s="22">
        <f>C16/1000</f>
        <v>0.001</v>
      </c>
      <c r="F16" s="22">
        <f t="shared" si="0"/>
        <v>8.333333333333333E-05</v>
      </c>
      <c r="G16" s="22">
        <f t="shared" si="1"/>
        <v>2.777777777777778E-05</v>
      </c>
      <c r="H16" s="22">
        <f t="shared" si="2"/>
        <v>1.5782828282828283E-08</v>
      </c>
      <c r="I16" s="22">
        <f t="shared" si="3"/>
        <v>0.0254</v>
      </c>
      <c r="J16" s="22">
        <f t="shared" si="4"/>
        <v>0.00254</v>
      </c>
      <c r="K16" s="22">
        <f t="shared" si="5"/>
        <v>2.54E-05</v>
      </c>
      <c r="L16" s="22">
        <f t="shared" si="6"/>
        <v>25.400000000000002</v>
      </c>
      <c r="M16" s="22">
        <f t="shared" si="7"/>
        <v>25400</v>
      </c>
      <c r="N16" s="22">
        <f t="shared" si="8"/>
        <v>1</v>
      </c>
      <c r="O16" s="22">
        <f t="shared" si="9"/>
        <v>1.2626262626262626E-07</v>
      </c>
      <c r="P16" s="22">
        <f t="shared" si="10"/>
        <v>1.3714869999999999E-08</v>
      </c>
      <c r="Q16" s="22">
        <f t="shared" si="11"/>
        <v>2.68484E-21</v>
      </c>
      <c r="R16" s="22">
        <f t="shared" si="12"/>
        <v>8.231588000000001E-22</v>
      </c>
      <c r="S16" s="22">
        <f t="shared" si="13"/>
        <v>1.388888888888889E-05</v>
      </c>
      <c r="T16" s="22">
        <f t="shared" si="14"/>
        <v>5.050505050505051E-06</v>
      </c>
      <c r="U16" s="3"/>
    </row>
    <row r="17" spans="2:21" ht="12.75">
      <c r="B17" s="3" t="s">
        <v>43</v>
      </c>
      <c r="C17" s="4">
        <v>1</v>
      </c>
      <c r="D17" s="3"/>
      <c r="E17" s="22">
        <f>C17*7920</f>
        <v>7920</v>
      </c>
      <c r="F17" s="22">
        <f t="shared" si="0"/>
        <v>660</v>
      </c>
      <c r="G17" s="22">
        <f t="shared" si="1"/>
        <v>220</v>
      </c>
      <c r="H17" s="22">
        <f t="shared" si="2"/>
        <v>0.125</v>
      </c>
      <c r="I17" s="22">
        <f t="shared" si="3"/>
        <v>201168</v>
      </c>
      <c r="J17" s="22">
        <f t="shared" si="4"/>
        <v>20116.8</v>
      </c>
      <c r="K17" s="22">
        <f t="shared" si="5"/>
        <v>201.16799999999998</v>
      </c>
      <c r="L17" s="22">
        <f t="shared" si="6"/>
        <v>201168000</v>
      </c>
      <c r="M17" s="22">
        <f t="shared" si="7"/>
        <v>201168000000</v>
      </c>
      <c r="N17" s="22">
        <f t="shared" si="8"/>
        <v>7920000</v>
      </c>
      <c r="O17" s="22">
        <f t="shared" si="9"/>
        <v>1</v>
      </c>
      <c r="P17" s="22">
        <f t="shared" si="10"/>
        <v>0.1086217704</v>
      </c>
      <c r="Q17" s="22">
        <f t="shared" si="11"/>
        <v>2.1263932799999998E-14</v>
      </c>
      <c r="R17" s="22">
        <f t="shared" si="12"/>
        <v>6.519417696E-15</v>
      </c>
      <c r="S17" s="22">
        <f t="shared" si="13"/>
        <v>110</v>
      </c>
      <c r="T17" s="22">
        <f t="shared" si="14"/>
        <v>40</v>
      </c>
      <c r="U17" s="3"/>
    </row>
    <row r="18" spans="2:21" ht="12.75">
      <c r="B18" s="3" t="s">
        <v>44</v>
      </c>
      <c r="C18" s="4">
        <v>1</v>
      </c>
      <c r="D18" s="3"/>
      <c r="E18" s="22">
        <f>C18/0.00001371487</f>
        <v>72913.56024519373</v>
      </c>
      <c r="F18" s="22">
        <f t="shared" si="0"/>
        <v>6076.130020432811</v>
      </c>
      <c r="G18" s="22">
        <f t="shared" si="1"/>
        <v>2025.3766734776036</v>
      </c>
      <c r="H18" s="22">
        <f t="shared" si="2"/>
        <v>1.1507822008395474</v>
      </c>
      <c r="I18" s="22">
        <f t="shared" si="3"/>
        <v>1852004.4302279206</v>
      </c>
      <c r="J18" s="22">
        <f t="shared" si="4"/>
        <v>185200.44302279208</v>
      </c>
      <c r="K18" s="22">
        <f t="shared" si="5"/>
        <v>1852.0044302279207</v>
      </c>
      <c r="L18" s="22">
        <f t="shared" si="6"/>
        <v>1852004430.2279208</v>
      </c>
      <c r="M18" s="22">
        <f t="shared" si="7"/>
        <v>1852004430227.9207</v>
      </c>
      <c r="N18" s="22">
        <f t="shared" si="8"/>
        <v>72913560.24519373</v>
      </c>
      <c r="O18" s="22">
        <f t="shared" si="9"/>
        <v>9.20625760671638</v>
      </c>
      <c r="P18" s="22">
        <f t="shared" si="10"/>
        <v>1</v>
      </c>
      <c r="Q18" s="22">
        <f t="shared" si="11"/>
        <v>1.9576124308870593E-13</v>
      </c>
      <c r="R18" s="22">
        <f t="shared" si="12"/>
        <v>6.001943875516138E-14</v>
      </c>
      <c r="S18" s="22">
        <f t="shared" si="13"/>
        <v>1012.6883367388018</v>
      </c>
      <c r="T18" s="22">
        <f t="shared" si="14"/>
        <v>368.2503042686552</v>
      </c>
      <c r="U18" s="3"/>
    </row>
    <row r="19" spans="2:21" ht="12.75">
      <c r="B19" s="3" t="s">
        <v>45</v>
      </c>
      <c r="C19" s="4">
        <v>1</v>
      </c>
      <c r="D19" s="3"/>
      <c r="E19" s="22">
        <f>C19/0.00000000000000000268484</f>
        <v>3.724616736937769E+17</v>
      </c>
      <c r="F19" s="22">
        <f t="shared" si="0"/>
        <v>31038472807814740</v>
      </c>
      <c r="G19" s="22">
        <f t="shared" si="1"/>
        <v>10346157602604914</v>
      </c>
      <c r="H19" s="22">
        <f t="shared" si="2"/>
        <v>5878498637843.701</v>
      </c>
      <c r="I19" s="22">
        <f t="shared" si="3"/>
        <v>9.460526511821933E+18</v>
      </c>
      <c r="J19" s="22">
        <f t="shared" si="4"/>
        <v>9.460526511821933E+17</v>
      </c>
      <c r="K19" s="22">
        <f t="shared" si="5"/>
        <v>9460526511821932</v>
      </c>
      <c r="L19" s="22">
        <f t="shared" si="6"/>
        <v>9.460526511821932E+21</v>
      </c>
      <c r="M19" s="22">
        <f t="shared" si="7"/>
        <v>9.460526511821933E+24</v>
      </c>
      <c r="N19" s="22">
        <f t="shared" si="8"/>
        <v>3.724616736937769E+20</v>
      </c>
      <c r="O19" s="22">
        <f t="shared" si="9"/>
        <v>47027989102749.61</v>
      </c>
      <c r="P19" s="22">
        <f t="shared" si="10"/>
        <v>5108263434692.569</v>
      </c>
      <c r="Q19" s="22">
        <f t="shared" si="11"/>
        <v>0.9999999999999999</v>
      </c>
      <c r="R19" s="22">
        <f t="shared" si="12"/>
        <v>0.306595104363761</v>
      </c>
      <c r="S19" s="22">
        <f t="shared" si="13"/>
        <v>5173078801302457</v>
      </c>
      <c r="T19" s="22">
        <f t="shared" si="14"/>
        <v>1881119564109984.2</v>
      </c>
      <c r="U19" s="3"/>
    </row>
    <row r="20" spans="2:21" ht="12.75">
      <c r="B20" s="3" t="s">
        <v>46</v>
      </c>
      <c r="C20" s="4">
        <v>1</v>
      </c>
      <c r="D20" s="3"/>
      <c r="E20" s="22">
        <f>C20/0.0000000000000000008231588</f>
        <v>1.2148324235858258E+18</v>
      </c>
      <c r="F20" s="22">
        <f t="shared" si="0"/>
        <v>1.0123603529881882E+17</v>
      </c>
      <c r="G20" s="22">
        <f t="shared" si="1"/>
        <v>33745345099606270</v>
      </c>
      <c r="H20" s="22">
        <f t="shared" si="2"/>
        <v>19173491533867.2</v>
      </c>
      <c r="I20" s="22">
        <f t="shared" si="3"/>
        <v>3.0856743559079973E+19</v>
      </c>
      <c r="J20" s="22">
        <f t="shared" si="4"/>
        <v>3.0856743559079977E+18</v>
      </c>
      <c r="K20" s="22">
        <f t="shared" si="5"/>
        <v>30856743559079972</v>
      </c>
      <c r="L20" s="22">
        <f t="shared" si="6"/>
        <v>3.0856743559079974E+22</v>
      </c>
      <c r="M20" s="22">
        <f t="shared" si="7"/>
        <v>3.0856743559079977E+25</v>
      </c>
      <c r="N20" s="22">
        <f t="shared" si="8"/>
        <v>1.2148324235858257E+21</v>
      </c>
      <c r="O20" s="22">
        <f t="shared" si="9"/>
        <v>153387932270937.6</v>
      </c>
      <c r="P20" s="22">
        <f t="shared" si="10"/>
        <v>16661268761264.533</v>
      </c>
      <c r="Q20" s="22">
        <f t="shared" si="11"/>
        <v>3.2616306841401683</v>
      </c>
      <c r="R20" s="22">
        <f t="shared" si="12"/>
        <v>1</v>
      </c>
      <c r="S20" s="22">
        <f t="shared" si="13"/>
        <v>16872672549803136</v>
      </c>
      <c r="T20" s="22">
        <f t="shared" si="14"/>
        <v>6135517290837504</v>
      </c>
      <c r="U20" s="3"/>
    </row>
    <row r="21" spans="2:21" ht="12.75">
      <c r="B21" s="3" t="s">
        <v>95</v>
      </c>
      <c r="C21" s="4">
        <v>1</v>
      </c>
      <c r="D21" s="3"/>
      <c r="E21" s="22">
        <f>C21*72</f>
        <v>72</v>
      </c>
      <c r="F21" s="22">
        <f t="shared" si="0"/>
        <v>6</v>
      </c>
      <c r="G21" s="22">
        <f t="shared" si="1"/>
        <v>2</v>
      </c>
      <c r="H21" s="22">
        <f t="shared" si="2"/>
        <v>0.0011363636363636363</v>
      </c>
      <c r="I21" s="22">
        <f t="shared" si="3"/>
        <v>1828.8</v>
      </c>
      <c r="J21" s="22">
        <f t="shared" si="4"/>
        <v>182.88</v>
      </c>
      <c r="K21" s="22">
        <f t="shared" si="5"/>
        <v>1.8288</v>
      </c>
      <c r="L21" s="22">
        <f t="shared" si="6"/>
        <v>1828800</v>
      </c>
      <c r="M21" s="22">
        <f t="shared" si="7"/>
        <v>1828800000</v>
      </c>
      <c r="N21" s="22">
        <f t="shared" si="8"/>
        <v>72000</v>
      </c>
      <c r="O21" s="22">
        <f t="shared" si="9"/>
        <v>0.00909090909090909</v>
      </c>
      <c r="P21" s="22">
        <f t="shared" si="10"/>
        <v>0.0009874706399999999</v>
      </c>
      <c r="Q21" s="22">
        <f t="shared" si="11"/>
        <v>1.9330847999999998E-16</v>
      </c>
      <c r="R21" s="22">
        <f t="shared" si="12"/>
        <v>5.92674336E-17</v>
      </c>
      <c r="S21" s="22">
        <f t="shared" si="13"/>
        <v>1</v>
      </c>
      <c r="T21" s="22">
        <f t="shared" si="14"/>
        <v>0.36363636363636365</v>
      </c>
      <c r="U21" s="3"/>
    </row>
    <row r="22" spans="2:21" ht="12.75">
      <c r="B22" s="3" t="s">
        <v>97</v>
      </c>
      <c r="C22" s="4">
        <v>1</v>
      </c>
      <c r="D22" s="3"/>
      <c r="E22" s="22">
        <f>C22*198</f>
        <v>198</v>
      </c>
      <c r="F22" s="22">
        <f t="shared" si="0"/>
        <v>16.5</v>
      </c>
      <c r="G22" s="22">
        <f t="shared" si="1"/>
        <v>5.5</v>
      </c>
      <c r="H22" s="22">
        <f t="shared" si="2"/>
        <v>0.003125</v>
      </c>
      <c r="I22" s="22">
        <f t="shared" si="3"/>
        <v>5029.2</v>
      </c>
      <c r="J22" s="22">
        <f t="shared" si="4"/>
        <v>502.92</v>
      </c>
      <c r="K22" s="22">
        <f t="shared" si="5"/>
        <v>5.0291999999999994</v>
      </c>
      <c r="L22" s="22">
        <f t="shared" si="6"/>
        <v>5029200</v>
      </c>
      <c r="M22" s="22">
        <f t="shared" si="7"/>
        <v>5029200000</v>
      </c>
      <c r="N22" s="22">
        <f t="shared" si="8"/>
        <v>198000</v>
      </c>
      <c r="O22" s="22">
        <f t="shared" si="9"/>
        <v>0.025</v>
      </c>
      <c r="P22" s="22">
        <f t="shared" si="10"/>
        <v>0.0027155442599999997</v>
      </c>
      <c r="Q22" s="22">
        <f t="shared" si="11"/>
        <v>5.3159832E-16</v>
      </c>
      <c r="R22" s="22">
        <f t="shared" si="12"/>
        <v>1.629854424E-16</v>
      </c>
      <c r="S22" s="22">
        <f t="shared" si="13"/>
        <v>2.75</v>
      </c>
      <c r="T22" s="22">
        <f t="shared" si="14"/>
        <v>1</v>
      </c>
      <c r="U22" s="3"/>
    </row>
    <row r="23" spans="2:21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</sheetData>
  <sheetProtection password="87CD" sheet="1" objects="1" scenarios="1" selectLockedCells="1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5:O17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2" max="2" width="15.7109375" style="0" customWidth="1"/>
    <col min="3" max="3" width="12.421875" style="0" customWidth="1"/>
    <col min="4" max="4" width="4.140625" style="0" customWidth="1"/>
    <col min="5" max="11" width="8.7109375" style="0" customWidth="1"/>
    <col min="12" max="12" width="10.7109375" style="0" customWidth="1"/>
    <col min="13" max="13" width="9.8515625" style="0" customWidth="1"/>
    <col min="14" max="14" width="8.7109375" style="0" customWidth="1"/>
  </cols>
  <sheetData>
    <row r="5" spans="2:15" ht="12.75">
      <c r="B5" s="2" t="s">
        <v>26</v>
      </c>
      <c r="C5" s="3"/>
      <c r="D5" s="3"/>
      <c r="E5" s="2" t="s">
        <v>27</v>
      </c>
      <c r="F5" s="2"/>
      <c r="G5" s="2"/>
      <c r="H5" s="2"/>
      <c r="I5" s="2"/>
      <c r="J5" s="6"/>
      <c r="K5" s="6"/>
      <c r="L5" s="6"/>
      <c r="M5" s="6"/>
      <c r="N5" s="6"/>
      <c r="O5" s="6"/>
    </row>
    <row r="6" spans="2:15" ht="14.25">
      <c r="B6" s="3"/>
      <c r="C6" s="3"/>
      <c r="D6" s="3"/>
      <c r="E6" s="3" t="s">
        <v>33</v>
      </c>
      <c r="F6" s="3" t="s">
        <v>32</v>
      </c>
      <c r="G6" s="3" t="s">
        <v>31</v>
      </c>
      <c r="H6" s="3" t="s">
        <v>30</v>
      </c>
      <c r="I6" s="3" t="s">
        <v>29</v>
      </c>
      <c r="J6" s="3" t="s">
        <v>28</v>
      </c>
      <c r="K6" s="3" t="s">
        <v>34</v>
      </c>
      <c r="L6" s="3" t="s">
        <v>35</v>
      </c>
      <c r="M6" s="3" t="s">
        <v>36</v>
      </c>
      <c r="N6" s="3" t="s">
        <v>37</v>
      </c>
      <c r="O6" s="3"/>
    </row>
    <row r="7" spans="2:15" ht="14.25">
      <c r="B7" s="3" t="s">
        <v>33</v>
      </c>
      <c r="C7" s="4">
        <v>1</v>
      </c>
      <c r="D7" s="3"/>
      <c r="E7" s="7">
        <f>C7*1</f>
        <v>1</v>
      </c>
      <c r="F7" s="7">
        <f>E7/144</f>
        <v>0.006944444444444444</v>
      </c>
      <c r="G7" s="7">
        <f>E7/1296</f>
        <v>0.0007716049382716049</v>
      </c>
      <c r="H7" s="7">
        <f>E7/4014490000</f>
        <v>2.4909764378538743E-10</v>
      </c>
      <c r="I7" s="7">
        <f>E7*645.16</f>
        <v>645.16</v>
      </c>
      <c r="J7" s="7">
        <f>E7*6.4516</f>
        <v>6.4516</v>
      </c>
      <c r="K7" s="7">
        <f>E7*0.00064516</f>
        <v>0.00064516</v>
      </c>
      <c r="L7" s="23">
        <f>E7*0.00000000064516</f>
        <v>6.4516E-10</v>
      </c>
      <c r="M7" s="23">
        <f>E7*0.0000001594219</f>
        <v>1.594219E-07</v>
      </c>
      <c r="N7" s="23">
        <f>E7*0.000000064516</f>
        <v>6.4516E-08</v>
      </c>
      <c r="O7" s="3"/>
    </row>
    <row r="8" spans="2:15" ht="14.25">
      <c r="B8" s="3" t="s">
        <v>32</v>
      </c>
      <c r="C8" s="4">
        <v>1</v>
      </c>
      <c r="D8" s="3"/>
      <c r="E8" s="7">
        <f>C8*144</f>
        <v>144</v>
      </c>
      <c r="F8" s="7">
        <f>C8</f>
        <v>1</v>
      </c>
      <c r="G8" s="7">
        <f aca="true" t="shared" si="0" ref="G8:G16">E8/1296</f>
        <v>0.1111111111111111</v>
      </c>
      <c r="H8" s="7">
        <f aca="true" t="shared" si="1" ref="H8:H16">E8/4014490000</f>
        <v>3.587006070509579E-08</v>
      </c>
      <c r="I8" s="7">
        <f aca="true" t="shared" si="2" ref="I8:I16">E8*645.16</f>
        <v>92903.04</v>
      </c>
      <c r="J8" s="7">
        <f aca="true" t="shared" si="3" ref="J8:J16">E8*6.4516</f>
        <v>929.0304</v>
      </c>
      <c r="K8" s="7">
        <f aca="true" t="shared" si="4" ref="K8:K16">E8*0.00064516</f>
        <v>0.09290303999999999</v>
      </c>
      <c r="L8" s="23">
        <f aca="true" t="shared" si="5" ref="L8:L16">E8*0.00000000064516</f>
        <v>9.290304E-08</v>
      </c>
      <c r="M8" s="23">
        <f aca="true" t="shared" si="6" ref="M8:M16">E8*0.0000001594219</f>
        <v>2.2956753599999998E-05</v>
      </c>
      <c r="N8" s="23">
        <f aca="true" t="shared" si="7" ref="N8:N15">E8*0.000000064516</f>
        <v>9.290303999999999E-06</v>
      </c>
      <c r="O8" s="3"/>
    </row>
    <row r="9" spans="2:15" ht="14.25">
      <c r="B9" s="3" t="s">
        <v>31</v>
      </c>
      <c r="C9" s="4">
        <v>1</v>
      </c>
      <c r="D9" s="3"/>
      <c r="E9" s="7">
        <f>C9*1296</f>
        <v>1296</v>
      </c>
      <c r="F9" s="7">
        <f aca="true" t="shared" si="8" ref="F9:F16">E9/144</f>
        <v>9</v>
      </c>
      <c r="G9" s="7">
        <f>C9</f>
        <v>1</v>
      </c>
      <c r="H9" s="7">
        <f t="shared" si="1"/>
        <v>3.228305463458621E-07</v>
      </c>
      <c r="I9" s="7">
        <f t="shared" si="2"/>
        <v>836127.36</v>
      </c>
      <c r="J9" s="7">
        <f t="shared" si="3"/>
        <v>8361.2736</v>
      </c>
      <c r="K9" s="7">
        <f t="shared" si="4"/>
        <v>0.83612736</v>
      </c>
      <c r="L9" s="23">
        <f t="shared" si="5"/>
        <v>8.3612736E-07</v>
      </c>
      <c r="M9" s="23">
        <f t="shared" si="6"/>
        <v>0.0002066107824</v>
      </c>
      <c r="N9" s="23">
        <f t="shared" si="7"/>
        <v>8.361273599999998E-05</v>
      </c>
      <c r="O9" s="3"/>
    </row>
    <row r="10" spans="2:15" ht="14.25">
      <c r="B10" s="3" t="s">
        <v>30</v>
      </c>
      <c r="C10" s="4">
        <v>1</v>
      </c>
      <c r="D10" s="3"/>
      <c r="E10" s="7">
        <f>C10*4014490000</f>
        <v>4014490000</v>
      </c>
      <c r="F10" s="7">
        <f t="shared" si="8"/>
        <v>27878402.777777776</v>
      </c>
      <c r="G10" s="7">
        <f t="shared" si="0"/>
        <v>3097600.3086419753</v>
      </c>
      <c r="H10" s="7">
        <f>C10</f>
        <v>1</v>
      </c>
      <c r="I10" s="7">
        <f t="shared" si="2"/>
        <v>2589988368400</v>
      </c>
      <c r="J10" s="7">
        <f t="shared" si="3"/>
        <v>25899883684</v>
      </c>
      <c r="K10" s="7">
        <f t="shared" si="4"/>
        <v>2589988.3684</v>
      </c>
      <c r="L10" s="23">
        <f t="shared" si="5"/>
        <v>2.5899883684</v>
      </c>
      <c r="M10" s="23">
        <f t="shared" si="6"/>
        <v>639.997623331</v>
      </c>
      <c r="N10" s="23">
        <f t="shared" si="7"/>
        <v>258.99883683999997</v>
      </c>
      <c r="O10" s="3"/>
    </row>
    <row r="11" spans="2:15" ht="14.25">
      <c r="B11" s="3" t="s">
        <v>29</v>
      </c>
      <c r="C11" s="4">
        <v>1</v>
      </c>
      <c r="D11" s="3"/>
      <c r="E11" s="7">
        <f>C11*0.001550003</f>
        <v>0.001550003</v>
      </c>
      <c r="F11" s="7">
        <f t="shared" si="8"/>
        <v>1.0763909722222222E-05</v>
      </c>
      <c r="G11" s="7">
        <f t="shared" si="0"/>
        <v>1.1959899691358025E-06</v>
      </c>
      <c r="H11" s="7">
        <f t="shared" si="1"/>
        <v>3.861020951602819E-13</v>
      </c>
      <c r="I11" s="7">
        <f>C11</f>
        <v>1</v>
      </c>
      <c r="J11" s="7">
        <f t="shared" si="3"/>
        <v>0.009999999354800001</v>
      </c>
      <c r="K11" s="7">
        <f t="shared" si="4"/>
        <v>9.9999993548E-07</v>
      </c>
      <c r="L11" s="23">
        <f t="shared" si="5"/>
        <v>9.9999993548E-13</v>
      </c>
      <c r="M11" s="23">
        <f t="shared" si="6"/>
        <v>2.471044232657E-10</v>
      </c>
      <c r="N11" s="23">
        <f t="shared" si="7"/>
        <v>9.9999993548E-11</v>
      </c>
      <c r="O11" s="3"/>
    </row>
    <row r="12" spans="2:15" ht="14.25">
      <c r="B12" s="3" t="s">
        <v>28</v>
      </c>
      <c r="C12" s="4">
        <v>1</v>
      </c>
      <c r="D12" s="3"/>
      <c r="E12" s="7">
        <f>C12*0.1550003</f>
        <v>0.1550003</v>
      </c>
      <c r="F12" s="7">
        <f t="shared" si="8"/>
        <v>0.0010763909722222222</v>
      </c>
      <c r="G12" s="7">
        <f t="shared" si="0"/>
        <v>0.00011959899691358025</v>
      </c>
      <c r="H12" s="7">
        <f t="shared" si="1"/>
        <v>3.861020951602819E-11</v>
      </c>
      <c r="I12" s="7">
        <f t="shared" si="2"/>
        <v>99.999993548</v>
      </c>
      <c r="J12" s="7">
        <f>C12</f>
        <v>1</v>
      </c>
      <c r="K12" s="7">
        <f t="shared" si="4"/>
        <v>9.9999993548E-05</v>
      </c>
      <c r="L12" s="23">
        <f t="shared" si="5"/>
        <v>9.9999993548E-11</v>
      </c>
      <c r="M12" s="23">
        <f t="shared" si="6"/>
        <v>2.471044232657E-08</v>
      </c>
      <c r="N12" s="23">
        <f t="shared" si="7"/>
        <v>9.9999993548E-09</v>
      </c>
      <c r="O12" s="3"/>
    </row>
    <row r="13" spans="2:15" ht="14.25">
      <c r="B13" s="3" t="s">
        <v>34</v>
      </c>
      <c r="C13" s="4">
        <v>1</v>
      </c>
      <c r="D13" s="3"/>
      <c r="E13" s="7">
        <f>C13*1550.003</f>
        <v>1550.003</v>
      </c>
      <c r="F13" s="7">
        <f t="shared" si="8"/>
        <v>10.763909722222222</v>
      </c>
      <c r="G13" s="7">
        <f t="shared" si="0"/>
        <v>1.1959899691358025</v>
      </c>
      <c r="H13" s="7">
        <f t="shared" si="1"/>
        <v>3.8610209516028185E-07</v>
      </c>
      <c r="I13" s="7">
        <f t="shared" si="2"/>
        <v>999999.9354799999</v>
      </c>
      <c r="J13" s="7">
        <f t="shared" si="3"/>
        <v>9999.9993548</v>
      </c>
      <c r="K13" s="7">
        <f>C13</f>
        <v>1</v>
      </c>
      <c r="L13" s="23">
        <f t="shared" si="5"/>
        <v>9.999999354799998E-07</v>
      </c>
      <c r="M13" s="23">
        <f t="shared" si="6"/>
        <v>0.0002471044232657</v>
      </c>
      <c r="N13" s="23">
        <f t="shared" si="7"/>
        <v>9.999999354799999E-05</v>
      </c>
      <c r="O13" s="3"/>
    </row>
    <row r="14" spans="2:15" ht="14.25">
      <c r="B14" s="3" t="s">
        <v>35</v>
      </c>
      <c r="C14" s="4">
        <v>1</v>
      </c>
      <c r="D14" s="3"/>
      <c r="E14" s="23">
        <f>C14*1550003000</f>
        <v>1550003000</v>
      </c>
      <c r="F14" s="23">
        <f t="shared" si="8"/>
        <v>10763909.722222222</v>
      </c>
      <c r="G14" s="23">
        <f t="shared" si="0"/>
        <v>1195989.9691358025</v>
      </c>
      <c r="H14" s="23">
        <f t="shared" si="1"/>
        <v>0.3861020951602819</v>
      </c>
      <c r="I14" s="23">
        <f t="shared" si="2"/>
        <v>999999935480</v>
      </c>
      <c r="J14" s="23">
        <f t="shared" si="3"/>
        <v>9999999354.8</v>
      </c>
      <c r="K14" s="23">
        <f t="shared" si="4"/>
        <v>999999.93548</v>
      </c>
      <c r="L14" s="23">
        <f>C14</f>
        <v>1</v>
      </c>
      <c r="M14" s="23">
        <f t="shared" si="6"/>
        <v>247.10442326569998</v>
      </c>
      <c r="N14" s="23">
        <f t="shared" si="7"/>
        <v>99.99999354799999</v>
      </c>
      <c r="O14" s="3"/>
    </row>
    <row r="15" spans="2:15" ht="12.75">
      <c r="B15" s="3" t="s">
        <v>36</v>
      </c>
      <c r="C15" s="4">
        <v>1</v>
      </c>
      <c r="D15" s="3"/>
      <c r="E15" s="23">
        <f>C15*6272591</f>
        <v>6272591</v>
      </c>
      <c r="F15" s="23">
        <f t="shared" si="8"/>
        <v>43559.65972222222</v>
      </c>
      <c r="G15" s="23">
        <f t="shared" si="0"/>
        <v>4839.962191358025</v>
      </c>
      <c r="H15" s="23">
        <f t="shared" si="1"/>
        <v>0.0015624876385294272</v>
      </c>
      <c r="I15" s="23">
        <f t="shared" si="2"/>
        <v>4046824809.56</v>
      </c>
      <c r="J15" s="23">
        <f t="shared" si="3"/>
        <v>40468248.0956</v>
      </c>
      <c r="K15" s="23">
        <f t="shared" si="4"/>
        <v>4046.8248095599997</v>
      </c>
      <c r="L15" s="23">
        <f t="shared" si="5"/>
        <v>0.00404682480956</v>
      </c>
      <c r="M15" s="23">
        <f>C15</f>
        <v>1</v>
      </c>
      <c r="N15" s="23">
        <f t="shared" si="7"/>
        <v>0.40468248095599996</v>
      </c>
      <c r="O15" s="3"/>
    </row>
    <row r="16" spans="2:15" ht="12.75">
      <c r="B16" s="3" t="s">
        <v>37</v>
      </c>
      <c r="C16" s="4">
        <v>1</v>
      </c>
      <c r="D16" s="3"/>
      <c r="E16" s="23">
        <f>C16*15500030</f>
        <v>15500030</v>
      </c>
      <c r="F16" s="23">
        <f t="shared" si="8"/>
        <v>107639.09722222222</v>
      </c>
      <c r="G16" s="23">
        <f t="shared" si="0"/>
        <v>11959.899691358025</v>
      </c>
      <c r="H16" s="23">
        <f t="shared" si="1"/>
        <v>0.003861020951602819</v>
      </c>
      <c r="I16" s="23">
        <f t="shared" si="2"/>
        <v>9999999354.8</v>
      </c>
      <c r="J16" s="23">
        <f t="shared" si="3"/>
        <v>99999993.548</v>
      </c>
      <c r="K16" s="23">
        <f t="shared" si="4"/>
        <v>9999.9993548</v>
      </c>
      <c r="L16" s="23">
        <f t="shared" si="5"/>
        <v>0.0099999993548</v>
      </c>
      <c r="M16" s="23">
        <f t="shared" si="6"/>
        <v>2.471044232657</v>
      </c>
      <c r="N16" s="23">
        <f>C16</f>
        <v>1</v>
      </c>
      <c r="O16" s="3"/>
    </row>
    <row r="17" spans="2:1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</sheetData>
  <sheetProtection password="87CD" sheet="1" objects="1" scenarios="1" selectLockedCells="1"/>
  <printOptions/>
  <pageMargins left="0.75" right="0.75" top="1" bottom="1" header="0.5" footer="0.5"/>
  <pageSetup horizontalDpi="600" verticalDpi="600" orientation="portrait" r:id="rId3"/>
  <ignoredErrors>
    <ignoredError sqref="M15 L14 K13 J12 I11 H10 G9 F8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5:U23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2" max="2" width="15.00390625" style="0" customWidth="1"/>
    <col min="4" max="4" width="5.7109375" style="0" customWidth="1"/>
    <col min="5" max="5" width="12.421875" style="0" customWidth="1"/>
    <col min="6" max="20" width="10.7109375" style="0" customWidth="1"/>
  </cols>
  <sheetData>
    <row r="5" spans="2:7" ht="12.75">
      <c r="B5" s="2" t="s">
        <v>66</v>
      </c>
      <c r="C5" s="3"/>
      <c r="D5" s="3"/>
      <c r="E5" s="2" t="s">
        <v>67</v>
      </c>
      <c r="F5" s="2"/>
      <c r="G5" s="2"/>
    </row>
    <row r="6" spans="2:21" ht="14.25">
      <c r="B6" s="3"/>
      <c r="C6" s="3"/>
      <c r="D6" s="3"/>
      <c r="E6" s="3" t="s">
        <v>68</v>
      </c>
      <c r="F6" s="3" t="s">
        <v>69</v>
      </c>
      <c r="G6" s="3" t="s">
        <v>70</v>
      </c>
      <c r="H6" s="3" t="s">
        <v>52</v>
      </c>
      <c r="I6" s="3" t="s">
        <v>79</v>
      </c>
      <c r="J6" s="3" t="s">
        <v>76</v>
      </c>
      <c r="K6" s="3" t="s">
        <v>77</v>
      </c>
      <c r="L6" s="3" t="s">
        <v>80</v>
      </c>
      <c r="M6" s="3" t="s">
        <v>71</v>
      </c>
      <c r="N6" s="3" t="s">
        <v>72</v>
      </c>
      <c r="O6" s="3" t="s">
        <v>73</v>
      </c>
      <c r="P6" s="3" t="s">
        <v>74</v>
      </c>
      <c r="Q6" s="3" t="s">
        <v>75</v>
      </c>
      <c r="R6" s="3" t="s">
        <v>78</v>
      </c>
      <c r="S6" s="3" t="s">
        <v>81</v>
      </c>
      <c r="T6" s="3" t="s">
        <v>82</v>
      </c>
      <c r="U6" s="3"/>
    </row>
    <row r="7" spans="2:21" ht="14.25">
      <c r="B7" s="3" t="s">
        <v>68</v>
      </c>
      <c r="C7" s="4">
        <v>1</v>
      </c>
      <c r="D7" s="3"/>
      <c r="E7" s="7">
        <f>C7*1</f>
        <v>1</v>
      </c>
      <c r="F7" s="7">
        <f>E7/1728</f>
        <v>0.0005787037037037037</v>
      </c>
      <c r="G7" s="7">
        <f>E7/46656</f>
        <v>2.143347050754458E-05</v>
      </c>
      <c r="H7" s="7">
        <f>E7*0.5541126</f>
        <v>0.5541126</v>
      </c>
      <c r="I7" s="7">
        <f>E7*0.06926407</f>
        <v>0.06926407</v>
      </c>
      <c r="J7" s="7">
        <f>E7*0.03463203</f>
        <v>0.03463203</v>
      </c>
      <c r="K7" s="7">
        <f>E7*0.01731602</f>
        <v>0.01731602</v>
      </c>
      <c r="L7" s="23">
        <f>E7*0.004329004</f>
        <v>0.004329004</v>
      </c>
      <c r="M7" s="23">
        <f>E7/254358061056000</f>
        <v>3.9314657292494374E-15</v>
      </c>
      <c r="N7" s="23">
        <f>E7*16387.064</f>
        <v>16387.064</v>
      </c>
      <c r="O7" s="23">
        <f>E7*16.38706</f>
        <v>16.38706</v>
      </c>
      <c r="P7" s="23">
        <f>E7*0.00001638706</f>
        <v>1.638706E-05</v>
      </c>
      <c r="Q7" s="23">
        <f>E7*0.00000000000001638706</f>
        <v>1.638706E-14</v>
      </c>
      <c r="R7" s="23">
        <f>E7*0.01638706</f>
        <v>0.01638706</v>
      </c>
      <c r="S7" s="23">
        <f>E7*1.108225</f>
        <v>1.108225</v>
      </c>
      <c r="T7" s="23">
        <f>E7*3.324675</f>
        <v>3.324675</v>
      </c>
      <c r="U7" s="3"/>
    </row>
    <row r="8" spans="2:21" ht="14.25">
      <c r="B8" s="3" t="s">
        <v>69</v>
      </c>
      <c r="C8" s="4">
        <v>1</v>
      </c>
      <c r="D8" s="3"/>
      <c r="E8" s="7">
        <f>C8*1728</f>
        <v>1728</v>
      </c>
      <c r="F8" s="7">
        <f aca="true" t="shared" si="0" ref="F8:F22">E8/1728</f>
        <v>1</v>
      </c>
      <c r="G8" s="7">
        <f aca="true" t="shared" si="1" ref="G8:G22">E8/46656</f>
        <v>0.037037037037037035</v>
      </c>
      <c r="H8" s="7">
        <f aca="true" t="shared" si="2" ref="H8:H22">E8*0.5541126</f>
        <v>957.5065728</v>
      </c>
      <c r="I8" s="7">
        <f aca="true" t="shared" si="3" ref="I8:I22">E8*0.06926407</f>
        <v>119.68831295999999</v>
      </c>
      <c r="J8" s="7">
        <f aca="true" t="shared" si="4" ref="J8:J22">E8*0.03463203</f>
        <v>59.844147840000005</v>
      </c>
      <c r="K8" s="7">
        <f aca="true" t="shared" si="5" ref="K8:K22">E8*0.01731602</f>
        <v>29.922082560000003</v>
      </c>
      <c r="L8" s="23">
        <f aca="true" t="shared" si="6" ref="L8:L22">E8*0.004329004</f>
        <v>7.480518912</v>
      </c>
      <c r="M8" s="23">
        <f aca="true" t="shared" si="7" ref="M8:M22">E8/254358061056000</f>
        <v>6.793572780143028E-12</v>
      </c>
      <c r="N8" s="23">
        <f aca="true" t="shared" si="8" ref="N8:N22">E8*16387.064</f>
        <v>28316846.591999996</v>
      </c>
      <c r="O8" s="23">
        <f aca="true" t="shared" si="9" ref="O8:O22">E8*16.38706</f>
        <v>28316.839680000005</v>
      </c>
      <c r="P8" s="23">
        <f aca="true" t="shared" si="10" ref="P8:P22">E8*0.00001638706</f>
        <v>0.028316839680000004</v>
      </c>
      <c r="Q8" s="23">
        <f aca="true" t="shared" si="11" ref="Q8:Q22">E8*0.00000000000001638706</f>
        <v>2.8316839679999998E-11</v>
      </c>
      <c r="R8" s="23">
        <f aca="true" t="shared" si="12" ref="R8:R22">E8*0.01638706</f>
        <v>28.316839679999998</v>
      </c>
      <c r="S8" s="23">
        <f aca="true" t="shared" si="13" ref="S8:S22">E8*1.108225</f>
        <v>1915.0128</v>
      </c>
      <c r="T8" s="23">
        <f aca="true" t="shared" si="14" ref="T8:T22">E8*3.324675</f>
        <v>5745.0384</v>
      </c>
      <c r="U8" s="3"/>
    </row>
    <row r="9" spans="2:21" ht="14.25">
      <c r="B9" s="3" t="s">
        <v>70</v>
      </c>
      <c r="C9" s="4">
        <v>1</v>
      </c>
      <c r="D9" s="3"/>
      <c r="E9" s="7">
        <f>C9*46656</f>
        <v>46656</v>
      </c>
      <c r="F9" s="7">
        <f t="shared" si="0"/>
        <v>27</v>
      </c>
      <c r="G9" s="7">
        <f t="shared" si="1"/>
        <v>1</v>
      </c>
      <c r="H9" s="7">
        <f t="shared" si="2"/>
        <v>25852.677465599998</v>
      </c>
      <c r="I9" s="7">
        <f t="shared" si="3"/>
        <v>3231.5844499199998</v>
      </c>
      <c r="J9" s="7">
        <f t="shared" si="4"/>
        <v>1615.7919916800001</v>
      </c>
      <c r="K9" s="7">
        <f t="shared" si="5"/>
        <v>807.89622912</v>
      </c>
      <c r="L9" s="23">
        <f t="shared" si="6"/>
        <v>201.974010624</v>
      </c>
      <c r="M9" s="23">
        <f t="shared" si="7"/>
        <v>1.8342646506386176E-10</v>
      </c>
      <c r="N9" s="23">
        <f t="shared" si="8"/>
        <v>764554857.984</v>
      </c>
      <c r="O9" s="23">
        <f t="shared" si="9"/>
        <v>764554.67136</v>
      </c>
      <c r="P9" s="23">
        <f t="shared" si="10"/>
        <v>0.7645546713600001</v>
      </c>
      <c r="Q9" s="23">
        <f t="shared" si="11"/>
        <v>7.645546713599999E-10</v>
      </c>
      <c r="R9" s="23">
        <f t="shared" si="12"/>
        <v>764.5546713599999</v>
      </c>
      <c r="S9" s="23">
        <f t="shared" si="13"/>
        <v>51705.3456</v>
      </c>
      <c r="T9" s="23">
        <f t="shared" si="14"/>
        <v>155116.0368</v>
      </c>
      <c r="U9" s="3"/>
    </row>
    <row r="10" spans="2:21" ht="12.75">
      <c r="B10" s="3" t="s">
        <v>52</v>
      </c>
      <c r="C10" s="4">
        <v>1</v>
      </c>
      <c r="D10" s="3"/>
      <c r="E10" s="7">
        <f>C10/0.5541126</f>
        <v>1.8046873505493288</v>
      </c>
      <c r="F10" s="7">
        <f t="shared" si="0"/>
        <v>0.0010443792537901209</v>
      </c>
      <c r="G10" s="7">
        <f t="shared" si="1"/>
        <v>3.868071310333781E-05</v>
      </c>
      <c r="H10" s="7">
        <f t="shared" si="2"/>
        <v>0.9999999999999999</v>
      </c>
      <c r="I10" s="7">
        <f t="shared" si="3"/>
        <v>0.12499999097656324</v>
      </c>
      <c r="J10" s="7">
        <f t="shared" si="4"/>
        <v>0.06249998646484487</v>
      </c>
      <c r="K10" s="7">
        <f t="shared" si="5"/>
        <v>0.031250002255859194</v>
      </c>
      <c r="L10" s="23">
        <f t="shared" si="6"/>
        <v>0.007812498759277447</v>
      </c>
      <c r="M10" s="23">
        <f t="shared" si="7"/>
        <v>7.095066470694652E-15</v>
      </c>
      <c r="N10" s="23">
        <f t="shared" si="8"/>
        <v>29573.527113442284</v>
      </c>
      <c r="O10" s="23">
        <f t="shared" si="9"/>
        <v>29.573519894692886</v>
      </c>
      <c r="P10" s="23">
        <f t="shared" si="10"/>
        <v>2.957351989469289E-05</v>
      </c>
      <c r="Q10" s="23">
        <f t="shared" si="11"/>
        <v>2.9573519894692886E-14</v>
      </c>
      <c r="R10" s="23">
        <f t="shared" si="12"/>
        <v>0.029573519894692882</v>
      </c>
      <c r="S10" s="23">
        <f t="shared" si="13"/>
        <v>1.9999996390625299</v>
      </c>
      <c r="T10" s="23">
        <f t="shared" si="14"/>
        <v>5.99999891718759</v>
      </c>
      <c r="U10" s="3"/>
    </row>
    <row r="11" spans="2:21" ht="12.75">
      <c r="B11" s="3" t="s">
        <v>79</v>
      </c>
      <c r="C11" s="4">
        <v>1</v>
      </c>
      <c r="D11" s="3"/>
      <c r="E11" s="7">
        <f>C11/0.06926407</f>
        <v>14.437499846601565</v>
      </c>
      <c r="F11" s="7">
        <f t="shared" si="0"/>
        <v>0.008355034633449979</v>
      </c>
      <c r="G11" s="7">
        <f t="shared" si="1"/>
        <v>0.0003094457271648141</v>
      </c>
      <c r="H11" s="7">
        <f t="shared" si="2"/>
        <v>8.000000577499993</v>
      </c>
      <c r="I11" s="7">
        <f t="shared" si="3"/>
        <v>1</v>
      </c>
      <c r="J11" s="7">
        <f t="shared" si="4"/>
        <v>0.4999999278125008</v>
      </c>
      <c r="K11" s="7">
        <f t="shared" si="5"/>
        <v>0.25000003609374966</v>
      </c>
      <c r="L11" s="23">
        <f t="shared" si="6"/>
        <v>0.06249999458593756</v>
      </c>
      <c r="M11" s="23">
        <f t="shared" si="7"/>
        <v>5.676053586295806E-14</v>
      </c>
      <c r="N11" s="23">
        <f t="shared" si="8"/>
        <v>236588.23398625</v>
      </c>
      <c r="O11" s="23">
        <f t="shared" si="9"/>
        <v>236.58817623625066</v>
      </c>
      <c r="P11" s="23">
        <f t="shared" si="10"/>
        <v>0.00023658817623625067</v>
      </c>
      <c r="Q11" s="23">
        <f t="shared" si="11"/>
        <v>2.365881762362506E-13</v>
      </c>
      <c r="R11" s="23">
        <f t="shared" si="12"/>
        <v>0.2365881762362506</v>
      </c>
      <c r="S11" s="23">
        <f t="shared" si="13"/>
        <v>15.99999826750002</v>
      </c>
      <c r="T11" s="23">
        <f t="shared" si="14"/>
        <v>47.999994802500055</v>
      </c>
      <c r="U11" s="3"/>
    </row>
    <row r="12" spans="2:21" ht="12.75">
      <c r="B12" s="3" t="s">
        <v>76</v>
      </c>
      <c r="C12" s="4">
        <v>1</v>
      </c>
      <c r="D12" s="3"/>
      <c r="E12" s="7">
        <f>C12/0.03463203</f>
        <v>28.875003862031765</v>
      </c>
      <c r="F12" s="7">
        <f t="shared" si="0"/>
        <v>0.01671007167941653</v>
      </c>
      <c r="G12" s="7">
        <f t="shared" si="1"/>
        <v>0.0006188915436820937</v>
      </c>
      <c r="H12" s="7">
        <f t="shared" si="2"/>
        <v>16.00000346500046</v>
      </c>
      <c r="I12" s="7">
        <f t="shared" si="3"/>
        <v>2.0000002887500385</v>
      </c>
      <c r="J12" s="7">
        <f t="shared" si="4"/>
        <v>1</v>
      </c>
      <c r="K12" s="7">
        <f t="shared" si="5"/>
        <v>0.5000001443750193</v>
      </c>
      <c r="L12" s="23">
        <f t="shared" si="6"/>
        <v>0.12500000721875096</v>
      </c>
      <c r="M12" s="23">
        <f t="shared" si="7"/>
        <v>1.1352108811552304E-13</v>
      </c>
      <c r="N12" s="23">
        <f t="shared" si="8"/>
        <v>473176.53628736164</v>
      </c>
      <c r="O12" s="23">
        <f t="shared" si="9"/>
        <v>473.1764207873463</v>
      </c>
      <c r="P12" s="23">
        <f t="shared" si="10"/>
        <v>0.0004731764207873463</v>
      </c>
      <c r="Q12" s="23">
        <f t="shared" si="11"/>
        <v>4.731764207873462E-13</v>
      </c>
      <c r="R12" s="23">
        <f t="shared" si="12"/>
        <v>0.47317642078734623</v>
      </c>
      <c r="S12" s="23">
        <f t="shared" si="13"/>
        <v>32.000001155000156</v>
      </c>
      <c r="T12" s="23">
        <f t="shared" si="14"/>
        <v>96.00000346500046</v>
      </c>
      <c r="U12" s="3"/>
    </row>
    <row r="13" spans="2:21" ht="12.75">
      <c r="B13" s="3" t="s">
        <v>77</v>
      </c>
      <c r="C13" s="4">
        <v>1</v>
      </c>
      <c r="D13" s="3"/>
      <c r="E13" s="7">
        <f>C13/0.01731602</f>
        <v>57.74999104875138</v>
      </c>
      <c r="F13" s="7">
        <f t="shared" si="0"/>
        <v>0.03342013370876816</v>
      </c>
      <c r="G13" s="7">
        <f t="shared" si="1"/>
        <v>0.0012377827299543764</v>
      </c>
      <c r="H13" s="7">
        <f t="shared" si="2"/>
        <v>31.999997690000352</v>
      </c>
      <c r="I13" s="7">
        <f t="shared" si="3"/>
        <v>3.999999422500089</v>
      </c>
      <c r="J13" s="7">
        <f t="shared" si="4"/>
        <v>1.9999994225000894</v>
      </c>
      <c r="K13" s="7">
        <f t="shared" si="5"/>
        <v>1</v>
      </c>
      <c r="L13" s="23">
        <f t="shared" si="6"/>
        <v>0.24999994225000893</v>
      </c>
      <c r="M13" s="23">
        <f t="shared" si="7"/>
        <v>2.2704211067262784E-13</v>
      </c>
      <c r="N13" s="23">
        <f t="shared" si="8"/>
        <v>946352.7993153159</v>
      </c>
      <c r="O13" s="23">
        <f t="shared" si="9"/>
        <v>946.352568315352</v>
      </c>
      <c r="P13" s="23">
        <f t="shared" si="10"/>
        <v>0.0009463525683153519</v>
      </c>
      <c r="Q13" s="23">
        <f t="shared" si="11"/>
        <v>9.463525683153517E-13</v>
      </c>
      <c r="R13" s="23">
        <f t="shared" si="12"/>
        <v>0.9463525683153517</v>
      </c>
      <c r="S13" s="23">
        <f t="shared" si="13"/>
        <v>63.9999838300025</v>
      </c>
      <c r="T13" s="23">
        <f t="shared" si="14"/>
        <v>191.9999514900075</v>
      </c>
      <c r="U13" s="3"/>
    </row>
    <row r="14" spans="2:21" ht="12.75">
      <c r="B14" s="3" t="s">
        <v>80</v>
      </c>
      <c r="C14" s="4">
        <v>1</v>
      </c>
      <c r="D14" s="3"/>
      <c r="E14" s="23">
        <f>C14/0.004329004</f>
        <v>231.00001755600132</v>
      </c>
      <c r="F14" s="23">
        <f t="shared" si="0"/>
        <v>0.13368056571527853</v>
      </c>
      <c r="G14" s="23">
        <f t="shared" si="1"/>
        <v>0.0049511320635288346</v>
      </c>
      <c r="H14" s="23">
        <f t="shared" si="2"/>
        <v>128.00002032800154</v>
      </c>
      <c r="I14" s="23">
        <f t="shared" si="3"/>
        <v>16.000001386000104</v>
      </c>
      <c r="J14" s="23">
        <f t="shared" si="4"/>
        <v>7.999999537999964</v>
      </c>
      <c r="K14" s="23">
        <f t="shared" si="5"/>
        <v>4.00000092400007</v>
      </c>
      <c r="L14" s="23">
        <f t="shared" si="6"/>
        <v>1</v>
      </c>
      <c r="M14" s="23">
        <f t="shared" si="7"/>
        <v>9.081686524774376E-13</v>
      </c>
      <c r="N14" s="23">
        <f t="shared" si="8"/>
        <v>3785412.071691317</v>
      </c>
      <c r="O14" s="23">
        <f t="shared" si="9"/>
        <v>3785.4111476912476</v>
      </c>
      <c r="P14" s="23">
        <f t="shared" si="10"/>
        <v>0.0037854111476912475</v>
      </c>
      <c r="Q14" s="23">
        <f t="shared" si="11"/>
        <v>3.785411147691247E-12</v>
      </c>
      <c r="R14" s="23">
        <f t="shared" si="12"/>
        <v>3.7854111476912466</v>
      </c>
      <c r="S14" s="23">
        <f t="shared" si="13"/>
        <v>255.99999445599957</v>
      </c>
      <c r="T14" s="23">
        <f t="shared" si="14"/>
        <v>767.9999833679988</v>
      </c>
      <c r="U14" s="3"/>
    </row>
    <row r="15" spans="2:21" ht="14.25">
      <c r="B15" s="3" t="s">
        <v>71</v>
      </c>
      <c r="C15" s="4">
        <v>1</v>
      </c>
      <c r="D15" s="3"/>
      <c r="E15" s="23">
        <f>C15*254358061056000</f>
        <v>254358061056000</v>
      </c>
      <c r="F15" s="23">
        <f t="shared" si="0"/>
        <v>147197952000</v>
      </c>
      <c r="G15" s="23">
        <f t="shared" si="1"/>
        <v>5451776000</v>
      </c>
      <c r="H15" s="23">
        <f t="shared" si="2"/>
        <v>140943006542698.9</v>
      </c>
      <c r="I15" s="23">
        <f t="shared" si="3"/>
        <v>17617874546047.06</v>
      </c>
      <c r="J15" s="23">
        <f t="shared" si="4"/>
        <v>8808936001233.225</v>
      </c>
      <c r="K15" s="23">
        <f t="shared" si="5"/>
        <v>4404469272406.917</v>
      </c>
      <c r="L15" s="23">
        <f t="shared" si="6"/>
        <v>1101117063743.6682</v>
      </c>
      <c r="M15" s="23">
        <f t="shared" si="7"/>
        <v>1</v>
      </c>
      <c r="N15" s="23">
        <f t="shared" si="8"/>
        <v>4.168181825440579E+18</v>
      </c>
      <c r="O15" s="23">
        <f t="shared" si="9"/>
        <v>4168180808008336</v>
      </c>
      <c r="P15" s="23">
        <f t="shared" si="10"/>
        <v>4168180808.0083356</v>
      </c>
      <c r="Q15" s="23">
        <f t="shared" si="11"/>
        <v>4.168180808008335</v>
      </c>
      <c r="R15" s="23">
        <f t="shared" si="12"/>
        <v>4168180808008.335</v>
      </c>
      <c r="S15" s="23">
        <f t="shared" si="13"/>
        <v>281885962213785.6</v>
      </c>
      <c r="T15" s="23">
        <f t="shared" si="14"/>
        <v>845657886641356.8</v>
      </c>
      <c r="U15" s="3"/>
    </row>
    <row r="16" spans="2:21" ht="14.25">
      <c r="B16" s="3" t="s">
        <v>72</v>
      </c>
      <c r="C16" s="4">
        <v>1</v>
      </c>
      <c r="D16" s="3"/>
      <c r="E16" s="23">
        <f>C16/16387.064</f>
        <v>6.102374409473229E-05</v>
      </c>
      <c r="F16" s="23">
        <f t="shared" si="0"/>
        <v>3.531466672148859E-08</v>
      </c>
      <c r="G16" s="23">
        <f t="shared" si="1"/>
        <v>1.3079506193143923E-09</v>
      </c>
      <c r="H16" s="23">
        <f t="shared" si="2"/>
        <v>3.381402550206675E-05</v>
      </c>
      <c r="I16" s="23">
        <f t="shared" si="3"/>
        <v>4.226752882639624E-06</v>
      </c>
      <c r="J16" s="23">
        <f t="shared" si="4"/>
        <v>2.1133761362010918E-06</v>
      </c>
      <c r="K16" s="23">
        <f t="shared" si="5"/>
        <v>1.0566883732192664E-06</v>
      </c>
      <c r="L16" s="23">
        <f t="shared" si="6"/>
        <v>2.6417203228107245E-07</v>
      </c>
      <c r="M16" s="23">
        <f t="shared" si="7"/>
        <v>2.3991275857892774E-19</v>
      </c>
      <c r="N16" s="23">
        <f t="shared" si="8"/>
        <v>1</v>
      </c>
      <c r="O16" s="23">
        <f t="shared" si="9"/>
        <v>0.0009999997559050238</v>
      </c>
      <c r="P16" s="23">
        <f t="shared" si="10"/>
        <v>9.999997559050238E-10</v>
      </c>
      <c r="Q16" s="23">
        <f t="shared" si="11"/>
        <v>9.999997559050237E-19</v>
      </c>
      <c r="R16" s="23">
        <f t="shared" si="12"/>
        <v>9.999997559050236E-07</v>
      </c>
      <c r="S16" s="23">
        <f t="shared" si="13"/>
        <v>6.76280387993847E-05</v>
      </c>
      <c r="T16" s="23">
        <f t="shared" si="14"/>
        <v>0.00020288411639815407</v>
      </c>
      <c r="U16" s="3"/>
    </row>
    <row r="17" spans="2:21" ht="14.25">
      <c r="B17" s="3" t="s">
        <v>73</v>
      </c>
      <c r="C17" s="4">
        <v>1</v>
      </c>
      <c r="D17" s="3"/>
      <c r="E17" s="23">
        <f>C17/16.38706</f>
        <v>0.061023758990325284</v>
      </c>
      <c r="F17" s="23">
        <f t="shared" si="0"/>
        <v>3.531467534162343E-05</v>
      </c>
      <c r="G17" s="23">
        <f t="shared" si="1"/>
        <v>1.3079509385786456E-06</v>
      </c>
      <c r="H17" s="23">
        <f t="shared" si="2"/>
        <v>0.033814033755902514</v>
      </c>
      <c r="I17" s="23">
        <f t="shared" si="3"/>
        <v>0.0042267539143690195</v>
      </c>
      <c r="J17" s="23">
        <f t="shared" si="4"/>
        <v>0.002113376652065715</v>
      </c>
      <c r="K17" s="23">
        <f t="shared" si="5"/>
        <v>0.0010566886311516525</v>
      </c>
      <c r="L17" s="23">
        <f t="shared" si="6"/>
        <v>0.0002641720967641541</v>
      </c>
      <c r="M17" s="23">
        <f t="shared" si="7"/>
        <v>2.399128171404411E-16</v>
      </c>
      <c r="N17" s="23">
        <f t="shared" si="8"/>
        <v>1000.0002440950357</v>
      </c>
      <c r="O17" s="23">
        <f t="shared" si="9"/>
        <v>1</v>
      </c>
      <c r="P17" s="23">
        <f t="shared" si="10"/>
        <v>1E-06</v>
      </c>
      <c r="Q17" s="23">
        <f t="shared" si="11"/>
        <v>9.999999999999999E-16</v>
      </c>
      <c r="R17" s="23">
        <f t="shared" si="12"/>
        <v>0.0009999999999999998</v>
      </c>
      <c r="S17" s="23">
        <f t="shared" si="13"/>
        <v>0.06762805530705324</v>
      </c>
      <c r="T17" s="23">
        <f t="shared" si="14"/>
        <v>0.2028841659211597</v>
      </c>
      <c r="U17" s="3"/>
    </row>
    <row r="18" spans="2:21" ht="14.25">
      <c r="B18" s="3" t="s">
        <v>74</v>
      </c>
      <c r="C18" s="4">
        <v>1</v>
      </c>
      <c r="D18" s="3"/>
      <c r="E18" s="23">
        <f>C18/0.00001638706</f>
        <v>61023.75899032529</v>
      </c>
      <c r="F18" s="23">
        <f t="shared" si="0"/>
        <v>35.31467534162343</v>
      </c>
      <c r="G18" s="23">
        <f t="shared" si="1"/>
        <v>1.3079509385786456</v>
      </c>
      <c r="H18" s="23">
        <f t="shared" si="2"/>
        <v>33814.03375590252</v>
      </c>
      <c r="I18" s="23">
        <f t="shared" si="3"/>
        <v>4226.75391436902</v>
      </c>
      <c r="J18" s="23">
        <f t="shared" si="4"/>
        <v>2113.376652065715</v>
      </c>
      <c r="K18" s="23">
        <f t="shared" si="5"/>
        <v>1056.6886311516525</v>
      </c>
      <c r="L18" s="23">
        <f t="shared" si="6"/>
        <v>264.17209676415416</v>
      </c>
      <c r="M18" s="23">
        <f t="shared" si="7"/>
        <v>2.399128171404411E-10</v>
      </c>
      <c r="N18" s="23">
        <f t="shared" si="8"/>
        <v>1000000244.0950358</v>
      </c>
      <c r="O18" s="23">
        <f t="shared" si="9"/>
        <v>1000000</v>
      </c>
      <c r="P18" s="23">
        <f t="shared" si="10"/>
        <v>1</v>
      </c>
      <c r="Q18" s="23">
        <f t="shared" si="11"/>
        <v>9.999999999999999E-10</v>
      </c>
      <c r="R18" s="23">
        <f t="shared" si="12"/>
        <v>999.9999999999998</v>
      </c>
      <c r="S18" s="23">
        <f t="shared" si="13"/>
        <v>67628.05530705325</v>
      </c>
      <c r="T18" s="23">
        <f t="shared" si="14"/>
        <v>202884.16592115973</v>
      </c>
      <c r="U18" s="3"/>
    </row>
    <row r="19" spans="2:21" ht="14.25">
      <c r="B19" s="3" t="s">
        <v>75</v>
      </c>
      <c r="C19" s="4">
        <v>1</v>
      </c>
      <c r="D19" s="3"/>
      <c r="E19" s="23">
        <f>C19/0.00000000000001638706</f>
        <v>61023758990325.3</v>
      </c>
      <c r="F19" s="23">
        <f t="shared" si="0"/>
        <v>35314675341.623436</v>
      </c>
      <c r="G19" s="23">
        <f>E19/46656</f>
        <v>1307950938.5786457</v>
      </c>
      <c r="H19" s="23">
        <f t="shared" si="2"/>
        <v>33814033755902.523</v>
      </c>
      <c r="I19" s="23">
        <f t="shared" si="3"/>
        <v>4226753914369.0205</v>
      </c>
      <c r="J19" s="23">
        <f t="shared" si="4"/>
        <v>2113376652065.7156</v>
      </c>
      <c r="K19" s="23">
        <f t="shared" si="5"/>
        <v>1056688631151.6527</v>
      </c>
      <c r="L19" s="23">
        <f t="shared" si="6"/>
        <v>264172096764.15417</v>
      </c>
      <c r="M19" s="23">
        <f t="shared" si="7"/>
        <v>0.23991281714044116</v>
      </c>
      <c r="N19" s="23">
        <f t="shared" si="8"/>
        <v>1.0000002440950359E+18</v>
      </c>
      <c r="O19" s="23">
        <f t="shared" si="9"/>
        <v>1000000000000000.1</v>
      </c>
      <c r="P19" s="23">
        <f t="shared" si="10"/>
        <v>1000000000.0000001</v>
      </c>
      <c r="Q19" s="23">
        <f t="shared" si="11"/>
        <v>1</v>
      </c>
      <c r="R19" s="23">
        <f t="shared" si="12"/>
        <v>1000000000000</v>
      </c>
      <c r="S19" s="23">
        <f t="shared" si="13"/>
        <v>67628055307053.25</v>
      </c>
      <c r="T19" s="23">
        <f t="shared" si="14"/>
        <v>202884165921159.75</v>
      </c>
      <c r="U19" s="3"/>
    </row>
    <row r="20" spans="2:21" ht="12.75">
      <c r="B20" s="3" t="s">
        <v>78</v>
      </c>
      <c r="C20" s="4">
        <v>1</v>
      </c>
      <c r="D20" s="3"/>
      <c r="E20" s="23">
        <f>C20/0.01638706</f>
        <v>61.0237589903253</v>
      </c>
      <c r="F20" s="23">
        <f t="shared" si="0"/>
        <v>0.035314675341623435</v>
      </c>
      <c r="G20" s="23">
        <f t="shared" si="1"/>
        <v>0.0013079509385786458</v>
      </c>
      <c r="H20" s="23">
        <f t="shared" si="2"/>
        <v>33.81403375590252</v>
      </c>
      <c r="I20" s="23">
        <f t="shared" si="3"/>
        <v>4.226753914369021</v>
      </c>
      <c r="J20" s="23">
        <f t="shared" si="4"/>
        <v>2.1133766520657153</v>
      </c>
      <c r="K20" s="23">
        <f t="shared" si="5"/>
        <v>1.0566886311516528</v>
      </c>
      <c r="L20" s="23">
        <f t="shared" si="6"/>
        <v>0.26417209676415415</v>
      </c>
      <c r="M20" s="23">
        <f t="shared" si="7"/>
        <v>2.3991281714044117E-13</v>
      </c>
      <c r="N20" s="23">
        <f t="shared" si="8"/>
        <v>1000000.244095036</v>
      </c>
      <c r="O20" s="23">
        <f t="shared" si="9"/>
        <v>1000.0000000000002</v>
      </c>
      <c r="P20" s="23">
        <f t="shared" si="10"/>
        <v>0.0010000000000000002</v>
      </c>
      <c r="Q20" s="23">
        <f t="shared" si="11"/>
        <v>1E-12</v>
      </c>
      <c r="R20" s="23">
        <f t="shared" si="12"/>
        <v>1</v>
      </c>
      <c r="S20" s="23">
        <f t="shared" si="13"/>
        <v>67.62805530705326</v>
      </c>
      <c r="T20" s="23">
        <f t="shared" si="14"/>
        <v>202.88416592115976</v>
      </c>
      <c r="U20" s="3"/>
    </row>
    <row r="21" spans="2:21" ht="12.75">
      <c r="B21" s="3" t="s">
        <v>81</v>
      </c>
      <c r="C21" s="4">
        <v>1</v>
      </c>
      <c r="D21" s="3"/>
      <c r="E21" s="23">
        <f>C21/1.108225</f>
        <v>0.9023438381195155</v>
      </c>
      <c r="F21" s="23">
        <f t="shared" si="0"/>
        <v>0.0005221897211339789</v>
      </c>
      <c r="G21" s="23">
        <f t="shared" si="1"/>
        <v>1.9340360041999217E-05</v>
      </c>
      <c r="H21" s="23">
        <f t="shared" si="2"/>
        <v>0.5000000902343837</v>
      </c>
      <c r="I21" s="23">
        <f t="shared" si="3"/>
        <v>0.06250000676757879</v>
      </c>
      <c r="J21" s="23">
        <f t="shared" si="4"/>
        <v>0.031249998872070205</v>
      </c>
      <c r="K21" s="23">
        <f t="shared" si="5"/>
        <v>0.015625003947754294</v>
      </c>
      <c r="L21" s="23">
        <f t="shared" si="6"/>
        <v>0.003906250084594735</v>
      </c>
      <c r="M21" s="23">
        <f t="shared" si="7"/>
        <v>3.5475338755662775E-15</v>
      </c>
      <c r="N21" s="23">
        <f t="shared" si="8"/>
        <v>14786.766225270138</v>
      </c>
      <c r="O21" s="23">
        <f t="shared" si="9"/>
        <v>14.786762615894789</v>
      </c>
      <c r="P21" s="23">
        <f t="shared" si="10"/>
        <v>1.4786762615894788E-05</v>
      </c>
      <c r="Q21" s="23">
        <f t="shared" si="11"/>
        <v>1.4786762615894785E-14</v>
      </c>
      <c r="R21" s="23">
        <f t="shared" si="12"/>
        <v>0.014786762615894785</v>
      </c>
      <c r="S21" s="23">
        <f t="shared" si="13"/>
        <v>1</v>
      </c>
      <c r="T21" s="23">
        <f t="shared" si="14"/>
        <v>3</v>
      </c>
      <c r="U21" s="3"/>
    </row>
    <row r="22" spans="2:21" ht="12.75">
      <c r="B22" s="3" t="s">
        <v>82</v>
      </c>
      <c r="C22" s="4">
        <v>1</v>
      </c>
      <c r="D22" s="3"/>
      <c r="E22" s="23">
        <f>C22/3.324675</f>
        <v>0.3007812793731718</v>
      </c>
      <c r="F22" s="23">
        <f t="shared" si="0"/>
        <v>0.00017406324037799292</v>
      </c>
      <c r="G22" s="23">
        <f t="shared" si="1"/>
        <v>6.446786680666405E-06</v>
      </c>
      <c r="H22" s="23">
        <f t="shared" si="2"/>
        <v>0.16666669674479456</v>
      </c>
      <c r="I22" s="23">
        <f t="shared" si="3"/>
        <v>0.020833335589192925</v>
      </c>
      <c r="J22" s="23">
        <f t="shared" si="4"/>
        <v>0.010416666290690067</v>
      </c>
      <c r="K22" s="23">
        <f t="shared" si="5"/>
        <v>0.005208334649251431</v>
      </c>
      <c r="L22" s="23">
        <f t="shared" si="6"/>
        <v>0.0013020833615315782</v>
      </c>
      <c r="M22" s="23">
        <f t="shared" si="7"/>
        <v>1.1825112918554256E-15</v>
      </c>
      <c r="N22" s="23">
        <f t="shared" si="8"/>
        <v>4928.922075090046</v>
      </c>
      <c r="O22" s="23">
        <f t="shared" si="9"/>
        <v>4.928920871964929</v>
      </c>
      <c r="P22" s="23">
        <f t="shared" si="10"/>
        <v>4.928920871964929E-06</v>
      </c>
      <c r="Q22" s="23">
        <f t="shared" si="11"/>
        <v>4.928920871964928E-15</v>
      </c>
      <c r="R22" s="23">
        <f t="shared" si="12"/>
        <v>0.004928920871964928</v>
      </c>
      <c r="S22" s="23">
        <f t="shared" si="13"/>
        <v>0.3333333333333333</v>
      </c>
      <c r="T22" s="23">
        <f t="shared" si="14"/>
        <v>0.9999999999999999</v>
      </c>
      <c r="U22" s="3"/>
    </row>
    <row r="23" spans="2:21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</sheetData>
  <sheetProtection password="87CD" sheet="1" objects="1" scenarios="1" selectLockedCells="1"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5:O23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4" max="4" width="5.57421875" style="0" customWidth="1"/>
    <col min="5" max="5" width="12.421875" style="0" bestFit="1" customWidth="1"/>
    <col min="8" max="8" width="9.8515625" style="0" customWidth="1"/>
    <col min="10" max="10" width="11.00390625" style="0" bestFit="1" customWidth="1"/>
    <col min="11" max="14" width="9.28125" style="0" bestFit="1" customWidth="1"/>
    <col min="15" max="15" width="5.57421875" style="0" customWidth="1"/>
  </cols>
  <sheetData>
    <row r="5" spans="2:8" ht="12.75">
      <c r="B5" s="2" t="s">
        <v>64</v>
      </c>
      <c r="C5" s="2"/>
      <c r="D5" s="3"/>
      <c r="E5" s="2" t="s">
        <v>65</v>
      </c>
      <c r="F5" s="2"/>
      <c r="G5" s="2"/>
      <c r="H5" s="2"/>
    </row>
    <row r="6" spans="2:15" ht="12.75">
      <c r="B6" s="3"/>
      <c r="C6" s="3"/>
      <c r="D6" s="3"/>
      <c r="E6" s="3" t="s">
        <v>59</v>
      </c>
      <c r="F6" s="3" t="s">
        <v>60</v>
      </c>
      <c r="G6" s="3" t="s">
        <v>61</v>
      </c>
      <c r="H6" s="3" t="s">
        <v>53</v>
      </c>
      <c r="I6" s="3" t="s">
        <v>54</v>
      </c>
      <c r="J6" s="3" t="s">
        <v>62</v>
      </c>
      <c r="K6" s="3" t="s">
        <v>55</v>
      </c>
      <c r="L6" s="3" t="s">
        <v>56</v>
      </c>
      <c r="M6" s="3" t="s">
        <v>57</v>
      </c>
      <c r="N6" s="3" t="s">
        <v>58</v>
      </c>
      <c r="O6" s="3"/>
    </row>
    <row r="7" spans="2:15" ht="12.75">
      <c r="B7" s="3" t="s">
        <v>59</v>
      </c>
      <c r="C7" s="4">
        <v>1</v>
      </c>
      <c r="D7" s="3"/>
      <c r="E7" s="7">
        <f>C7</f>
        <v>1</v>
      </c>
      <c r="F7" s="7">
        <f>E7*16</f>
        <v>16</v>
      </c>
      <c r="G7" s="7">
        <f>E7*0.0005</f>
        <v>0.0005</v>
      </c>
      <c r="H7" s="7">
        <f>E7*453.5924</f>
        <v>453.5924</v>
      </c>
      <c r="I7" s="7">
        <f>E7*0.4535924</f>
        <v>0.4535924</v>
      </c>
      <c r="J7" s="23">
        <f>E7*453592.4</f>
        <v>453592.4</v>
      </c>
      <c r="K7" s="23">
        <f>E7*0.0004535924</f>
        <v>0.0004535924</v>
      </c>
      <c r="L7" s="23">
        <f>E7*0.07142857</f>
        <v>0.07142857</v>
      </c>
      <c r="M7" s="23">
        <f>E7*7000</f>
        <v>7000</v>
      </c>
      <c r="N7" s="23">
        <f>E7*2267.962</f>
        <v>2267.962</v>
      </c>
      <c r="O7" s="3"/>
    </row>
    <row r="8" spans="2:15" ht="12.75">
      <c r="B8" s="3" t="s">
        <v>60</v>
      </c>
      <c r="C8" s="4">
        <v>1</v>
      </c>
      <c r="D8" s="3"/>
      <c r="E8" s="7">
        <f>C8/16</f>
        <v>0.0625</v>
      </c>
      <c r="F8" s="7">
        <f aca="true" t="shared" si="0" ref="F8:F16">E8*16</f>
        <v>1</v>
      </c>
      <c r="G8" s="7">
        <f aca="true" t="shared" si="1" ref="G8:G16">E8*0.0005</f>
        <v>3.125E-05</v>
      </c>
      <c r="H8" s="7">
        <f aca="true" t="shared" si="2" ref="H8:H16">E8*453.5924</f>
        <v>28.349525</v>
      </c>
      <c r="I8" s="7">
        <f aca="true" t="shared" si="3" ref="I8:I16">E8*0.4535924</f>
        <v>0.028349525</v>
      </c>
      <c r="J8" s="23">
        <f aca="true" t="shared" si="4" ref="J8:J16">E8*453592.4</f>
        <v>28349.525</v>
      </c>
      <c r="K8" s="23">
        <f aca="true" t="shared" si="5" ref="K8:K16">E8*0.0004535924</f>
        <v>2.8349525E-05</v>
      </c>
      <c r="L8" s="23">
        <f aca="true" t="shared" si="6" ref="L8:L16">E8*0.07142857</f>
        <v>0.004464285625</v>
      </c>
      <c r="M8" s="23">
        <f aca="true" t="shared" si="7" ref="M8:M16">E8*7000</f>
        <v>437.5</v>
      </c>
      <c r="N8" s="23">
        <f aca="true" t="shared" si="8" ref="N8:N16">E8*2267.962</f>
        <v>141.747625</v>
      </c>
      <c r="O8" s="3"/>
    </row>
    <row r="9" spans="2:15" ht="12.75">
      <c r="B9" s="3" t="s">
        <v>61</v>
      </c>
      <c r="C9" s="4">
        <v>1</v>
      </c>
      <c r="D9" s="3"/>
      <c r="E9" s="7">
        <f>C9*2000</f>
        <v>2000</v>
      </c>
      <c r="F9" s="7">
        <f t="shared" si="0"/>
        <v>32000</v>
      </c>
      <c r="G9" s="7">
        <f t="shared" si="1"/>
        <v>1</v>
      </c>
      <c r="H9" s="7">
        <f t="shared" si="2"/>
        <v>907184.8</v>
      </c>
      <c r="I9" s="7">
        <f t="shared" si="3"/>
        <v>907.1848</v>
      </c>
      <c r="J9" s="23">
        <f t="shared" si="4"/>
        <v>907184800</v>
      </c>
      <c r="K9" s="23">
        <f t="shared" si="5"/>
        <v>0.9071847999999999</v>
      </c>
      <c r="L9" s="23">
        <f t="shared" si="6"/>
        <v>142.85714</v>
      </c>
      <c r="M9" s="23">
        <f t="shared" si="7"/>
        <v>14000000</v>
      </c>
      <c r="N9" s="23">
        <f t="shared" si="8"/>
        <v>4535924</v>
      </c>
      <c r="O9" s="3"/>
    </row>
    <row r="10" spans="2:15" ht="12.75">
      <c r="B10" s="3" t="s">
        <v>53</v>
      </c>
      <c r="C10" s="4">
        <v>1</v>
      </c>
      <c r="D10" s="3"/>
      <c r="E10" s="7">
        <f>C10/453.5924</f>
        <v>0.0022046224760379584</v>
      </c>
      <c r="F10" s="7">
        <f t="shared" si="0"/>
        <v>0.035273959616607335</v>
      </c>
      <c r="G10" s="7">
        <f t="shared" si="1"/>
        <v>1.1023112380189792E-06</v>
      </c>
      <c r="H10" s="7">
        <f t="shared" si="2"/>
        <v>1</v>
      </c>
      <c r="I10" s="7">
        <f t="shared" si="3"/>
        <v>0.001</v>
      </c>
      <c r="J10" s="23">
        <f t="shared" si="4"/>
        <v>1000.0000000000001</v>
      </c>
      <c r="K10" s="23">
        <f t="shared" si="5"/>
        <v>1E-06</v>
      </c>
      <c r="L10" s="23">
        <f t="shared" si="6"/>
        <v>0.00015747303085325063</v>
      </c>
      <c r="M10" s="23">
        <f t="shared" si="7"/>
        <v>15.43235733226571</v>
      </c>
      <c r="N10" s="23">
        <f t="shared" si="8"/>
        <v>5</v>
      </c>
      <c r="O10" s="3"/>
    </row>
    <row r="11" spans="2:15" ht="12.75">
      <c r="B11" s="3" t="s">
        <v>54</v>
      </c>
      <c r="C11" s="4">
        <v>1</v>
      </c>
      <c r="D11" s="3"/>
      <c r="E11" s="7">
        <f>C11/0.4535924</f>
        <v>2.2046224760379585</v>
      </c>
      <c r="F11" s="7">
        <f t="shared" si="0"/>
        <v>35.273959616607335</v>
      </c>
      <c r="G11" s="7">
        <f t="shared" si="1"/>
        <v>0.0011023112380189792</v>
      </c>
      <c r="H11" s="7">
        <f t="shared" si="2"/>
        <v>1000.0000000000001</v>
      </c>
      <c r="I11" s="7">
        <f t="shared" si="3"/>
        <v>1</v>
      </c>
      <c r="J11" s="23">
        <f t="shared" si="4"/>
        <v>1000000.0000000001</v>
      </c>
      <c r="K11" s="23">
        <f t="shared" si="5"/>
        <v>0.001</v>
      </c>
      <c r="L11" s="23">
        <f t="shared" si="6"/>
        <v>0.15747303085325062</v>
      </c>
      <c r="M11" s="23">
        <f t="shared" si="7"/>
        <v>15432.357332265708</v>
      </c>
      <c r="N11" s="23">
        <f t="shared" si="8"/>
        <v>5000</v>
      </c>
      <c r="O11" s="3"/>
    </row>
    <row r="12" spans="2:15" ht="12.75">
      <c r="B12" s="3" t="s">
        <v>62</v>
      </c>
      <c r="C12" s="4">
        <v>1</v>
      </c>
      <c r="D12" s="3"/>
      <c r="E12" s="23">
        <f>C12*0.000002204623</f>
        <v>2.204623E-06</v>
      </c>
      <c r="F12" s="23">
        <f t="shared" si="0"/>
        <v>3.5273968E-05</v>
      </c>
      <c r="G12" s="23">
        <f t="shared" si="1"/>
        <v>1.1023115E-09</v>
      </c>
      <c r="H12" s="23">
        <f t="shared" si="2"/>
        <v>0.0010000002376652</v>
      </c>
      <c r="I12" s="23">
        <f t="shared" si="3"/>
        <v>1.0000002376652E-06</v>
      </c>
      <c r="J12" s="23">
        <f t="shared" si="4"/>
        <v>1.0000002376652</v>
      </c>
      <c r="K12" s="23">
        <f t="shared" si="5"/>
        <v>1.0000002376651999E-09</v>
      </c>
      <c r="L12" s="23">
        <f t="shared" si="6"/>
        <v>1.5747306827911E-07</v>
      </c>
      <c r="M12" s="23">
        <f t="shared" si="7"/>
        <v>0.015432361</v>
      </c>
      <c r="N12" s="23">
        <f t="shared" si="8"/>
        <v>0.005000001188326</v>
      </c>
      <c r="O12" s="3"/>
    </row>
    <row r="13" spans="2:15" ht="12.75">
      <c r="B13" s="3" t="s">
        <v>55</v>
      </c>
      <c r="C13" s="4">
        <v>1</v>
      </c>
      <c r="D13" s="3"/>
      <c r="E13" s="23">
        <f>C13*2204.623</f>
        <v>2204.623</v>
      </c>
      <c r="F13" s="23">
        <f t="shared" si="0"/>
        <v>35273.968</v>
      </c>
      <c r="G13" s="23">
        <f t="shared" si="1"/>
        <v>1.1023115</v>
      </c>
      <c r="H13" s="23">
        <f t="shared" si="2"/>
        <v>1000000.2376652</v>
      </c>
      <c r="I13" s="23">
        <f t="shared" si="3"/>
        <v>1000.0002376652001</v>
      </c>
      <c r="J13" s="23">
        <f t="shared" si="4"/>
        <v>1000000237.6652001</v>
      </c>
      <c r="K13" s="23">
        <f t="shared" si="5"/>
        <v>1.0000002376652</v>
      </c>
      <c r="L13" s="23">
        <f t="shared" si="6"/>
        <v>157.47306827911</v>
      </c>
      <c r="M13" s="23">
        <f t="shared" si="7"/>
        <v>15432361</v>
      </c>
      <c r="N13" s="23">
        <f t="shared" si="8"/>
        <v>5000001.188326</v>
      </c>
      <c r="O13" s="3"/>
    </row>
    <row r="14" spans="2:15" ht="12.75">
      <c r="B14" s="3" t="s">
        <v>56</v>
      </c>
      <c r="C14" s="4">
        <v>1</v>
      </c>
      <c r="D14" s="3"/>
      <c r="E14" s="23">
        <f>C14*14</f>
        <v>14</v>
      </c>
      <c r="F14" s="23">
        <f t="shared" si="0"/>
        <v>224</v>
      </c>
      <c r="G14" s="23">
        <f t="shared" si="1"/>
        <v>0.007</v>
      </c>
      <c r="H14" s="23">
        <f t="shared" si="2"/>
        <v>6350.2936</v>
      </c>
      <c r="I14" s="23">
        <f t="shared" si="3"/>
        <v>6.3502936000000005</v>
      </c>
      <c r="J14" s="23">
        <f t="shared" si="4"/>
        <v>6350293.600000001</v>
      </c>
      <c r="K14" s="23">
        <f t="shared" si="5"/>
        <v>0.006350293599999999</v>
      </c>
      <c r="L14" s="23">
        <f t="shared" si="6"/>
        <v>0.9999999799999999</v>
      </c>
      <c r="M14" s="23">
        <f t="shared" si="7"/>
        <v>98000</v>
      </c>
      <c r="N14" s="23">
        <f t="shared" si="8"/>
        <v>31751.468</v>
      </c>
      <c r="O14" s="3"/>
    </row>
    <row r="15" spans="2:15" ht="12.75">
      <c r="B15" s="3" t="s">
        <v>57</v>
      </c>
      <c r="C15" s="4">
        <v>1</v>
      </c>
      <c r="D15" s="3"/>
      <c r="E15" s="23">
        <f>C15*0.0001428571</f>
        <v>0.0001428571</v>
      </c>
      <c r="F15" s="23">
        <f t="shared" si="0"/>
        <v>0.0022857136</v>
      </c>
      <c r="G15" s="23">
        <f t="shared" si="1"/>
        <v>7.142855E-08</v>
      </c>
      <c r="H15" s="23">
        <f t="shared" si="2"/>
        <v>0.06479889484604001</v>
      </c>
      <c r="I15" s="23">
        <f t="shared" si="3"/>
        <v>6.479889484604001E-05</v>
      </c>
      <c r="J15" s="23">
        <f t="shared" si="4"/>
        <v>64.79889484604001</v>
      </c>
      <c r="K15" s="23">
        <f t="shared" si="5"/>
        <v>6.479889484604E-08</v>
      </c>
      <c r="L15" s="23">
        <f t="shared" si="6"/>
        <v>1.0204078367347001E-05</v>
      </c>
      <c r="M15" s="23">
        <f t="shared" si="7"/>
        <v>0.9999997</v>
      </c>
      <c r="N15" s="23">
        <f t="shared" si="8"/>
        <v>0.3239944742302</v>
      </c>
      <c r="O15" s="3"/>
    </row>
    <row r="16" spans="2:15" ht="12.75">
      <c r="B16" s="3" t="s">
        <v>58</v>
      </c>
      <c r="C16" s="4">
        <v>1</v>
      </c>
      <c r="D16" s="3"/>
      <c r="E16" s="23">
        <f>C16*0.0004409245</f>
        <v>0.0004409245</v>
      </c>
      <c r="F16" s="23">
        <f t="shared" si="0"/>
        <v>0.007054792</v>
      </c>
      <c r="G16" s="23">
        <f t="shared" si="1"/>
        <v>2.2046225E-07</v>
      </c>
      <c r="H16" s="23">
        <f t="shared" si="2"/>
        <v>0.20000000217379998</v>
      </c>
      <c r="I16" s="23">
        <f t="shared" si="3"/>
        <v>0.0002000000021738</v>
      </c>
      <c r="J16" s="23">
        <f t="shared" si="4"/>
        <v>200.0000021738</v>
      </c>
      <c r="K16" s="23">
        <f t="shared" si="5"/>
        <v>2.000000021738E-07</v>
      </c>
      <c r="L16" s="23">
        <f t="shared" si="6"/>
        <v>3.1494606512965E-05</v>
      </c>
      <c r="M16" s="23">
        <f t="shared" si="7"/>
        <v>3.0864715</v>
      </c>
      <c r="N16" s="23">
        <f t="shared" si="8"/>
        <v>1.000000010869</v>
      </c>
      <c r="O16" s="3"/>
    </row>
    <row r="17" spans="2:15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21" spans="2:15" ht="12.75">
      <c r="B21" s="15" t="s">
        <v>63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</row>
    <row r="22" spans="2:15" ht="12.75">
      <c r="B22" s="16" t="s">
        <v>140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  <row r="23" spans="2:15" ht="12.75">
      <c r="B23" s="17" t="s">
        <v>141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</sheetData>
  <sheetProtection password="87CD" sheet="1" objects="1" scenarios="1" selectLockedCells="1"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5:I11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2" max="2" width="9.8515625" style="0" customWidth="1"/>
    <col min="5" max="5" width="12.421875" style="1" customWidth="1"/>
    <col min="6" max="6" width="10.7109375" style="1" customWidth="1"/>
    <col min="7" max="8" width="9.140625" style="1" customWidth="1"/>
  </cols>
  <sheetData>
    <row r="5" spans="2:8" ht="12.75">
      <c r="B5" s="2" t="s">
        <v>85</v>
      </c>
      <c r="C5" s="2"/>
      <c r="D5" s="3"/>
      <c r="E5" s="2" t="s">
        <v>86</v>
      </c>
      <c r="F5" s="2"/>
      <c r="G5" s="2"/>
      <c r="H5" s="2"/>
    </row>
    <row r="6" spans="2:9" ht="12.75">
      <c r="B6" s="3"/>
      <c r="C6" s="3"/>
      <c r="D6" s="3"/>
      <c r="E6" s="3" t="s">
        <v>91</v>
      </c>
      <c r="F6" s="3" t="s">
        <v>88</v>
      </c>
      <c r="G6" s="3" t="s">
        <v>89</v>
      </c>
      <c r="H6" s="3" t="s">
        <v>90</v>
      </c>
      <c r="I6" s="3"/>
    </row>
    <row r="7" spans="2:9" ht="12.75">
      <c r="B7" s="3" t="s">
        <v>87</v>
      </c>
      <c r="C7" s="4">
        <v>0</v>
      </c>
      <c r="D7" s="3"/>
      <c r="E7" s="7">
        <f>C7</f>
        <v>0</v>
      </c>
      <c r="F7" s="7">
        <f>(C7-32)*5/9</f>
        <v>-17.77777777777778</v>
      </c>
      <c r="G7" s="23">
        <f>(C7+459.67)/1.8</f>
        <v>255.37222222222223</v>
      </c>
      <c r="H7" s="23">
        <f>C7+459.67</f>
        <v>459.67</v>
      </c>
      <c r="I7" s="3"/>
    </row>
    <row r="8" spans="2:9" ht="12.75">
      <c r="B8" s="3" t="s">
        <v>88</v>
      </c>
      <c r="C8" s="4">
        <v>0</v>
      </c>
      <c r="D8" s="3"/>
      <c r="E8" s="7">
        <f>C8*9/5+32</f>
        <v>32</v>
      </c>
      <c r="F8" s="7">
        <f>C8</f>
        <v>0</v>
      </c>
      <c r="G8" s="23">
        <f>C8+273.15</f>
        <v>273.15</v>
      </c>
      <c r="H8" s="23">
        <f>E8+459.67</f>
        <v>491.67</v>
      </c>
      <c r="I8" s="3"/>
    </row>
    <row r="9" spans="2:9" ht="12.75">
      <c r="B9" s="3" t="s">
        <v>89</v>
      </c>
      <c r="C9" s="4">
        <v>0</v>
      </c>
      <c r="D9" s="3"/>
      <c r="E9" s="23">
        <f>F9*9/5+32</f>
        <v>-459.66999999999996</v>
      </c>
      <c r="F9" s="23">
        <f>C9-273.15</f>
        <v>-273.15</v>
      </c>
      <c r="G9" s="23">
        <f>C9</f>
        <v>0</v>
      </c>
      <c r="H9" s="23">
        <f>C9*1.8</f>
        <v>0</v>
      </c>
      <c r="I9" s="3"/>
    </row>
    <row r="10" spans="2:9" ht="12.75">
      <c r="B10" s="3" t="s">
        <v>90</v>
      </c>
      <c r="C10" s="4">
        <v>0</v>
      </c>
      <c r="D10" s="3"/>
      <c r="E10" s="23">
        <f>C10-459.67</f>
        <v>-459.67</v>
      </c>
      <c r="F10" s="23">
        <f>(E10-32)*5/9</f>
        <v>-273.15</v>
      </c>
      <c r="G10" s="23">
        <f>C10/1.8</f>
        <v>0</v>
      </c>
      <c r="H10" s="23">
        <f>C10</f>
        <v>0</v>
      </c>
      <c r="I10" s="3"/>
    </row>
    <row r="11" spans="2:9" ht="12.75">
      <c r="B11" s="3"/>
      <c r="C11" s="3"/>
      <c r="D11" s="3"/>
      <c r="E11" s="3"/>
      <c r="F11" s="3"/>
      <c r="G11" s="3"/>
      <c r="H11" s="3"/>
      <c r="I11" s="3"/>
    </row>
  </sheetData>
  <sheetProtection password="87CD"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I12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2" max="2" width="15.140625" style="0" customWidth="1"/>
    <col min="5" max="5" width="12.57421875" style="0" customWidth="1"/>
    <col min="6" max="6" width="14.140625" style="0" customWidth="1"/>
    <col min="7" max="7" width="10.00390625" style="0" customWidth="1"/>
    <col min="9" max="9" width="5.57421875" style="0" customWidth="1"/>
  </cols>
  <sheetData>
    <row r="5" spans="2:8" ht="12.75">
      <c r="B5" s="2" t="s">
        <v>106</v>
      </c>
      <c r="C5" s="2"/>
      <c r="D5" s="3"/>
      <c r="E5" s="2" t="s">
        <v>107</v>
      </c>
      <c r="F5" s="2"/>
      <c r="G5" s="2"/>
      <c r="H5" s="2"/>
    </row>
    <row r="6" spans="2:9" ht="12.75">
      <c r="B6" s="3"/>
      <c r="C6" s="3"/>
      <c r="D6" s="3"/>
      <c r="E6" s="3" t="s">
        <v>104</v>
      </c>
      <c r="F6" s="3" t="s">
        <v>105</v>
      </c>
      <c r="G6" s="3" t="s">
        <v>102</v>
      </c>
      <c r="H6" s="3" t="s">
        <v>103</v>
      </c>
      <c r="I6" s="3"/>
    </row>
    <row r="7" spans="2:9" ht="12.75">
      <c r="B7" s="3" t="s">
        <v>104</v>
      </c>
      <c r="C7" s="4">
        <v>1</v>
      </c>
      <c r="D7" s="3"/>
      <c r="E7" s="23">
        <f>C7</f>
        <v>1</v>
      </c>
      <c r="F7" s="23">
        <f>E7*0.4535924</f>
        <v>0.4535924</v>
      </c>
      <c r="G7" s="23">
        <f>E7*4.448222</f>
        <v>4.448222</v>
      </c>
      <c r="H7" s="23">
        <f>E7*444822.2</f>
        <v>444822.2</v>
      </c>
      <c r="I7" s="3"/>
    </row>
    <row r="8" spans="2:9" ht="12.75">
      <c r="B8" s="3" t="s">
        <v>105</v>
      </c>
      <c r="C8" s="4">
        <v>1</v>
      </c>
      <c r="D8" s="3"/>
      <c r="E8" s="23">
        <f>C8/0.4535924</f>
        <v>2.2046224760379585</v>
      </c>
      <c r="F8" s="23">
        <f>E8*0.4535924</f>
        <v>1</v>
      </c>
      <c r="G8" s="23">
        <f>E8*4.448222</f>
        <v>9.806650199606521</v>
      </c>
      <c r="H8" s="23">
        <f>E8*444822.2</f>
        <v>980665.019960652</v>
      </c>
      <c r="I8" s="3"/>
    </row>
    <row r="9" spans="2:9" ht="12.75">
      <c r="B9" s="3" t="s">
        <v>102</v>
      </c>
      <c r="C9" s="4">
        <v>1</v>
      </c>
      <c r="D9" s="3"/>
      <c r="E9" s="23">
        <f>C9/4.448222</f>
        <v>0.22480892365533914</v>
      </c>
      <c r="F9" s="23">
        <f>E9*0.4535924</f>
        <v>0.10197161922224206</v>
      </c>
      <c r="G9" s="23">
        <f>E9*4.448222</f>
        <v>1</v>
      </c>
      <c r="H9" s="23">
        <f>E9*444822.2</f>
        <v>100000</v>
      </c>
      <c r="I9" s="3"/>
    </row>
    <row r="10" spans="2:9" ht="12.75">
      <c r="B10" s="3" t="s">
        <v>103</v>
      </c>
      <c r="C10" s="4">
        <v>1</v>
      </c>
      <c r="D10" s="3"/>
      <c r="E10" s="23">
        <f>C10/444822.2</f>
        <v>2.2480892365533912E-06</v>
      </c>
      <c r="F10" s="23">
        <f>E10*0.4535924</f>
        <v>1.0197161922224205E-06</v>
      </c>
      <c r="G10" s="23">
        <f>E10*4.448222</f>
        <v>9.999999999999999E-06</v>
      </c>
      <c r="H10" s="23">
        <f>E10*444822.2</f>
        <v>0.9999999999999999</v>
      </c>
      <c r="I10" s="3"/>
    </row>
    <row r="11" spans="2:9" ht="12.75">
      <c r="B11" s="3"/>
      <c r="C11" s="3"/>
      <c r="D11" s="3"/>
      <c r="E11" s="3"/>
      <c r="F11" s="3"/>
      <c r="G11" s="3"/>
      <c r="H11" s="3"/>
      <c r="I11" s="3"/>
    </row>
    <row r="12" spans="5:8" ht="12.75">
      <c r="E12" s="1"/>
      <c r="F12" s="1"/>
      <c r="G12" s="1"/>
      <c r="H12" s="1"/>
    </row>
  </sheetData>
  <sheetProtection password="87CD" sheet="1" objects="1" scenarios="1" selectLockedCells="1"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5:R31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2" max="2" width="16.57421875" style="0" customWidth="1"/>
    <col min="5" max="5" width="13.57421875" style="0" customWidth="1"/>
    <col min="6" max="6" width="10.140625" style="0" bestFit="1" customWidth="1"/>
    <col min="7" max="7" width="12.140625" style="0" bestFit="1" customWidth="1"/>
    <col min="8" max="8" width="9.7109375" style="0" bestFit="1" customWidth="1"/>
    <col min="9" max="9" width="10.140625" style="0" bestFit="1" customWidth="1"/>
    <col min="10" max="10" width="14.8515625" style="0" bestFit="1" customWidth="1"/>
    <col min="11" max="11" width="9.140625" style="0" bestFit="1" customWidth="1"/>
    <col min="12" max="12" width="10.00390625" style="0" bestFit="1" customWidth="1"/>
    <col min="13" max="13" width="12.421875" style="0" bestFit="1" customWidth="1"/>
    <col min="14" max="15" width="12.57421875" style="0" bestFit="1" customWidth="1"/>
    <col min="16" max="16" width="12.28125" style="0" bestFit="1" customWidth="1"/>
    <col min="17" max="17" width="14.57421875" style="0" bestFit="1" customWidth="1"/>
    <col min="18" max="18" width="5.57421875" style="0" customWidth="1"/>
  </cols>
  <sheetData>
    <row r="5" spans="2:8" ht="12.75">
      <c r="B5" s="2" t="s">
        <v>110</v>
      </c>
      <c r="C5" s="2"/>
      <c r="D5" s="3"/>
      <c r="E5" s="2" t="s">
        <v>111</v>
      </c>
      <c r="F5" s="2"/>
      <c r="G5" s="2"/>
      <c r="H5" s="2"/>
    </row>
    <row r="6" spans="2:18" ht="12.75">
      <c r="B6" s="3"/>
      <c r="C6" s="3"/>
      <c r="D6" s="3"/>
      <c r="E6" s="3" t="s">
        <v>112</v>
      </c>
      <c r="F6" s="3" t="s">
        <v>124</v>
      </c>
      <c r="G6" s="3" t="s">
        <v>117</v>
      </c>
      <c r="H6" s="3" t="s">
        <v>122</v>
      </c>
      <c r="I6" s="3" t="s">
        <v>123</v>
      </c>
      <c r="J6" s="3" t="s">
        <v>121</v>
      </c>
      <c r="K6" s="3" t="s">
        <v>113</v>
      </c>
      <c r="L6" s="3" t="s">
        <v>114</v>
      </c>
      <c r="M6" s="3" t="s">
        <v>116</v>
      </c>
      <c r="N6" s="3" t="s">
        <v>118</v>
      </c>
      <c r="O6" s="3" t="s">
        <v>115</v>
      </c>
      <c r="P6" s="3" t="s">
        <v>119</v>
      </c>
      <c r="Q6" s="3" t="s">
        <v>120</v>
      </c>
      <c r="R6" s="3"/>
    </row>
    <row r="7" spans="2:18" ht="12.75">
      <c r="B7" s="3" t="s">
        <v>112</v>
      </c>
      <c r="C7" s="4">
        <v>1</v>
      </c>
      <c r="D7" s="3"/>
      <c r="E7" s="23">
        <f>C7</f>
        <v>1</v>
      </c>
      <c r="F7" s="23">
        <f>E7*0.2930711</f>
        <v>0.2930711</v>
      </c>
      <c r="G7" s="23">
        <f>E7*0.0002930711</f>
        <v>0.0002930711</v>
      </c>
      <c r="H7" s="23">
        <f>E7*778.1693</f>
        <v>778.1693</v>
      </c>
      <c r="I7" s="23">
        <f>E7*9338.031</f>
        <v>9338.031</v>
      </c>
      <c r="J7" s="23">
        <f>E7*0.0003930148</f>
        <v>0.0003930148</v>
      </c>
      <c r="K7" s="23">
        <f>E7*251.9958</f>
        <v>251.9958</v>
      </c>
      <c r="L7" s="23">
        <f>E7*1055.056</f>
        <v>1055.056</v>
      </c>
      <c r="M7" s="23">
        <f>E7*10550560000</f>
        <v>10550560000</v>
      </c>
      <c r="N7" s="23">
        <f>E7*0.000009999961</f>
        <v>9.999961E-06</v>
      </c>
      <c r="O7" s="23">
        <f>E7*6.585086E+21</f>
        <v>6.585086E+21</v>
      </c>
      <c r="P7" s="23">
        <f>E7*1055.056</f>
        <v>1055.056</v>
      </c>
      <c r="Q7" s="23">
        <f>E7*10550560000</f>
        <v>10550560000</v>
      </c>
      <c r="R7" s="3"/>
    </row>
    <row r="8" spans="2:18" ht="12.75">
      <c r="B8" s="3" t="s">
        <v>124</v>
      </c>
      <c r="C8" s="4">
        <v>1</v>
      </c>
      <c r="D8" s="3"/>
      <c r="E8" s="23">
        <f>C8/0.2930711</f>
        <v>3.412141285851795</v>
      </c>
      <c r="F8" s="23">
        <f aca="true" t="shared" si="0" ref="F8:F19">E8*0.2930711</f>
        <v>1</v>
      </c>
      <c r="G8" s="23">
        <f aca="true" t="shared" si="1" ref="G8:G19">E8*0.0002930711</f>
        <v>0.001</v>
      </c>
      <c r="H8" s="23">
        <f aca="true" t="shared" si="2" ref="H8:H19">E8*778.1693</f>
        <v>2655.2235959123914</v>
      </c>
      <c r="I8" s="23">
        <f aca="true" t="shared" si="3" ref="I8:I19">E8*9338.031</f>
        <v>31862.681103663926</v>
      </c>
      <c r="J8" s="23">
        <f aca="true" t="shared" si="4" ref="J8:J19">E8*0.0003930148</f>
        <v>0.0013410220250307861</v>
      </c>
      <c r="K8" s="23">
        <f aca="true" t="shared" si="5" ref="K8:K19">E8*251.9958</f>
        <v>859.8452730412519</v>
      </c>
      <c r="L8" s="23">
        <f aca="true" t="shared" si="6" ref="L8:L19">E8*1055.056</f>
        <v>3600.0001364856516</v>
      </c>
      <c r="M8" s="23">
        <f aca="true" t="shared" si="7" ref="M8:M19">E8*10550560000</f>
        <v>36000001364.856514</v>
      </c>
      <c r="N8" s="23">
        <f aca="true" t="shared" si="8" ref="N8:N19">E8*0.000009999961</f>
        <v>3.4121279785007805E-05</v>
      </c>
      <c r="O8" s="23">
        <f aca="true" t="shared" si="9" ref="O8:O19">E8*6.585086E+21</f>
        <v>2.2469243811484655E+22</v>
      </c>
      <c r="P8" s="23">
        <f aca="true" t="shared" si="10" ref="P8:P19">E8*1055.056</f>
        <v>3600.0001364856516</v>
      </c>
      <c r="Q8" s="23">
        <f aca="true" t="shared" si="11" ref="Q8:Q19">E8*10550560000</f>
        <v>36000001364.856514</v>
      </c>
      <c r="R8" s="3"/>
    </row>
    <row r="9" spans="2:18" ht="12.75">
      <c r="B9" s="3" t="s">
        <v>117</v>
      </c>
      <c r="C9" s="4">
        <v>1</v>
      </c>
      <c r="D9" s="3"/>
      <c r="E9" s="23">
        <f>C9/0.0002930711</f>
        <v>3412.141285851795</v>
      </c>
      <c r="F9" s="23">
        <f t="shared" si="0"/>
        <v>1000</v>
      </c>
      <c r="G9" s="23">
        <f t="shared" si="1"/>
        <v>1</v>
      </c>
      <c r="H9" s="23">
        <f t="shared" si="2"/>
        <v>2655223.5959123913</v>
      </c>
      <c r="I9" s="23">
        <f t="shared" si="3"/>
        <v>31862681.10366393</v>
      </c>
      <c r="J9" s="23">
        <f t="shared" si="4"/>
        <v>1.341022025030786</v>
      </c>
      <c r="K9" s="23">
        <f t="shared" si="5"/>
        <v>859845.2730412518</v>
      </c>
      <c r="L9" s="23">
        <f t="shared" si="6"/>
        <v>3600000.1364856516</v>
      </c>
      <c r="M9" s="23">
        <f t="shared" si="7"/>
        <v>36000001364856.516</v>
      </c>
      <c r="N9" s="23">
        <f t="shared" si="8"/>
        <v>0.034121279785007806</v>
      </c>
      <c r="O9" s="23">
        <f t="shared" si="9"/>
        <v>2.2469243811484654E+25</v>
      </c>
      <c r="P9" s="23">
        <f t="shared" si="10"/>
        <v>3600000.1364856516</v>
      </c>
      <c r="Q9" s="23">
        <f t="shared" si="11"/>
        <v>36000001364856.516</v>
      </c>
      <c r="R9" s="3"/>
    </row>
    <row r="10" spans="2:18" ht="12.75">
      <c r="B10" s="3" t="s">
        <v>122</v>
      </c>
      <c r="C10" s="4">
        <v>1</v>
      </c>
      <c r="D10" s="3"/>
      <c r="E10" s="23">
        <f>C10/778.1693</f>
        <v>0.0012850674011426562</v>
      </c>
      <c r="F10" s="23">
        <f t="shared" si="0"/>
        <v>0.0003766161168270195</v>
      </c>
      <c r="G10" s="23">
        <f t="shared" si="1"/>
        <v>3.766161168270195E-07</v>
      </c>
      <c r="H10" s="23">
        <f t="shared" si="2"/>
        <v>1</v>
      </c>
      <c r="I10" s="23">
        <f t="shared" si="3"/>
        <v>11.99999922895956</v>
      </c>
      <c r="J10" s="23">
        <f t="shared" si="4"/>
        <v>5.050505076466008E-07</v>
      </c>
      <c r="K10" s="23">
        <f t="shared" si="5"/>
        <v>0.32383158780486454</v>
      </c>
      <c r="L10" s="23">
        <f t="shared" si="6"/>
        <v>1.3558180719799664</v>
      </c>
      <c r="M10" s="23">
        <f t="shared" si="7"/>
        <v>13558180.719799662</v>
      </c>
      <c r="N10" s="23">
        <f t="shared" si="8"/>
        <v>1.2850623893797918E-08</v>
      </c>
      <c r="O10" s="23">
        <f t="shared" si="9"/>
        <v>8.462279352320889E+18</v>
      </c>
      <c r="P10" s="23">
        <f t="shared" si="10"/>
        <v>1.3558180719799664</v>
      </c>
      <c r="Q10" s="23">
        <f t="shared" si="11"/>
        <v>13558180.719799662</v>
      </c>
      <c r="R10" s="3"/>
    </row>
    <row r="11" spans="2:18" ht="12.75">
      <c r="B11" s="3" t="s">
        <v>123</v>
      </c>
      <c r="C11" s="4">
        <v>1</v>
      </c>
      <c r="D11" s="3"/>
      <c r="E11" s="23">
        <f>C11/9338.031</f>
        <v>0.00010708895697604772</v>
      </c>
      <c r="F11" s="23">
        <f t="shared" si="0"/>
        <v>3.138467841882298E-05</v>
      </c>
      <c r="G11" s="23">
        <f t="shared" si="1"/>
        <v>3.138467841882298E-08</v>
      </c>
      <c r="H11" s="23">
        <f t="shared" si="2"/>
        <v>0.08333333868778117</v>
      </c>
      <c r="I11" s="23">
        <f t="shared" si="3"/>
        <v>1</v>
      </c>
      <c r="J11" s="23">
        <f t="shared" si="4"/>
        <v>4.208754500815E-08</v>
      </c>
      <c r="K11" s="23">
        <f t="shared" si="5"/>
        <v>0.026985967384344726</v>
      </c>
      <c r="L11" s="23">
        <f t="shared" si="6"/>
        <v>0.112984846591321</v>
      </c>
      <c r="M11" s="23">
        <f t="shared" si="7"/>
        <v>1129848.46591321</v>
      </c>
      <c r="N11" s="23">
        <f t="shared" si="8"/>
        <v>1.0708853932911554E-09</v>
      </c>
      <c r="O11" s="23">
        <f t="shared" si="9"/>
        <v>7.051899913375741E+17</v>
      </c>
      <c r="P11" s="23">
        <f t="shared" si="10"/>
        <v>0.112984846591321</v>
      </c>
      <c r="Q11" s="23">
        <f t="shared" si="11"/>
        <v>1129848.46591321</v>
      </c>
      <c r="R11" s="3"/>
    </row>
    <row r="12" spans="2:18" ht="12.75">
      <c r="B12" s="3" t="s">
        <v>121</v>
      </c>
      <c r="C12" s="4">
        <v>1</v>
      </c>
      <c r="D12" s="3"/>
      <c r="E12" s="23">
        <f>C12/0.0003930148</f>
        <v>2544.433441183385</v>
      </c>
      <c r="F12" s="23">
        <f t="shared" si="0"/>
        <v>745.6999074843999</v>
      </c>
      <c r="G12" s="23">
        <f t="shared" si="1"/>
        <v>0.7456999074844</v>
      </c>
      <c r="H12" s="23">
        <f t="shared" si="2"/>
        <v>1979999.9898222662</v>
      </c>
      <c r="I12" s="23">
        <f t="shared" si="3"/>
        <v>23759998.35120713</v>
      </c>
      <c r="J12" s="23">
        <f t="shared" si="4"/>
        <v>0.9999999999999999</v>
      </c>
      <c r="K12" s="23">
        <f t="shared" si="5"/>
        <v>641186.54055776</v>
      </c>
      <c r="L12" s="23">
        <f t="shared" si="6"/>
        <v>2684519.7687211777</v>
      </c>
      <c r="M12" s="23">
        <f t="shared" si="7"/>
        <v>26845197687211.777</v>
      </c>
      <c r="N12" s="23">
        <f t="shared" si="8"/>
        <v>0.025444235178929648</v>
      </c>
      <c r="O12" s="23">
        <f t="shared" si="9"/>
        <v>1.6755313031468533E+25</v>
      </c>
      <c r="P12" s="23">
        <f t="shared" si="10"/>
        <v>2684519.7687211777</v>
      </c>
      <c r="Q12" s="23">
        <f t="shared" si="11"/>
        <v>26845197687211.777</v>
      </c>
      <c r="R12" s="3"/>
    </row>
    <row r="13" spans="2:18" ht="12.75">
      <c r="B13" s="3" t="s">
        <v>113</v>
      </c>
      <c r="C13" s="4">
        <v>1</v>
      </c>
      <c r="D13" s="3"/>
      <c r="E13" s="23">
        <f>C13/251.9958</f>
        <v>0.003968320106922417</v>
      </c>
      <c r="F13" s="23">
        <f t="shared" si="0"/>
        <v>0.0011629999388878703</v>
      </c>
      <c r="G13" s="23">
        <f t="shared" si="1"/>
        <v>1.1629999388878702E-06</v>
      </c>
      <c r="H13" s="23">
        <f t="shared" si="2"/>
        <v>3.0880248797797427</v>
      </c>
      <c r="I13" s="23">
        <f t="shared" si="3"/>
        <v>37.056296176364846</v>
      </c>
      <c r="J13" s="23">
        <f t="shared" si="4"/>
        <v>1.5596085331580923E-06</v>
      </c>
      <c r="K13" s="23">
        <f t="shared" si="5"/>
        <v>1</v>
      </c>
      <c r="L13" s="23">
        <f t="shared" si="6"/>
        <v>4.186799938729138</v>
      </c>
      <c r="M13" s="23">
        <f t="shared" si="7"/>
        <v>41867999.38729138</v>
      </c>
      <c r="N13" s="23">
        <f t="shared" si="8"/>
        <v>3.968304630474E-08</v>
      </c>
      <c r="O13" s="23">
        <f t="shared" si="9"/>
        <v>2.613172917961331E+19</v>
      </c>
      <c r="P13" s="23">
        <f t="shared" si="10"/>
        <v>4.186799938729138</v>
      </c>
      <c r="Q13" s="23">
        <f t="shared" si="11"/>
        <v>41867999.38729138</v>
      </c>
      <c r="R13" s="3"/>
    </row>
    <row r="14" spans="2:18" ht="12.75">
      <c r="B14" s="3" t="s">
        <v>114</v>
      </c>
      <c r="C14" s="4">
        <v>1</v>
      </c>
      <c r="D14" s="3"/>
      <c r="E14" s="23">
        <f>C14/1055.056</f>
        <v>0.0009478169879134378</v>
      </c>
      <c r="F14" s="23">
        <f t="shared" si="0"/>
        <v>0.0002777777672464779</v>
      </c>
      <c r="G14" s="23">
        <f t="shared" si="1"/>
        <v>2.777777672464779E-07</v>
      </c>
      <c r="H14" s="23">
        <f t="shared" si="2"/>
        <v>0.7375620820127083</v>
      </c>
      <c r="I14" s="23">
        <f t="shared" si="3"/>
        <v>8.850744415462309</v>
      </c>
      <c r="J14" s="23">
        <f t="shared" si="4"/>
        <v>3.725061039414022E-07</v>
      </c>
      <c r="K14" s="23">
        <f t="shared" si="5"/>
        <v>0.23884590012283707</v>
      </c>
      <c r="L14" s="23">
        <f t="shared" si="6"/>
        <v>1</v>
      </c>
      <c r="M14" s="23">
        <f t="shared" si="7"/>
        <v>10000000</v>
      </c>
      <c r="N14" s="23">
        <f t="shared" si="8"/>
        <v>9.47813291427185E-09</v>
      </c>
      <c r="O14" s="23">
        <f t="shared" si="9"/>
        <v>6.241456377670948E+18</v>
      </c>
      <c r="P14" s="23">
        <f t="shared" si="10"/>
        <v>1</v>
      </c>
      <c r="Q14" s="23">
        <f t="shared" si="11"/>
        <v>10000000</v>
      </c>
      <c r="R14" s="3"/>
    </row>
    <row r="15" spans="2:18" ht="12.75">
      <c r="B15" s="3" t="s">
        <v>116</v>
      </c>
      <c r="C15" s="4">
        <v>1</v>
      </c>
      <c r="D15" s="3"/>
      <c r="E15" s="23">
        <f>C15/10550560000</f>
        <v>9.478169879134378E-11</v>
      </c>
      <c r="F15" s="23">
        <f t="shared" si="0"/>
        <v>2.777777672464779E-11</v>
      </c>
      <c r="G15" s="23">
        <f t="shared" si="1"/>
        <v>2.777777672464779E-14</v>
      </c>
      <c r="H15" s="23">
        <f t="shared" si="2"/>
        <v>7.375620820127083E-08</v>
      </c>
      <c r="I15" s="23">
        <f t="shared" si="3"/>
        <v>8.850744415462308E-07</v>
      </c>
      <c r="J15" s="23">
        <f t="shared" si="4"/>
        <v>3.725061039414022E-14</v>
      </c>
      <c r="K15" s="23">
        <f t="shared" si="5"/>
        <v>2.3884590012283708E-08</v>
      </c>
      <c r="L15" s="23">
        <f t="shared" si="6"/>
        <v>1.0000000000000001E-07</v>
      </c>
      <c r="M15" s="23">
        <f t="shared" si="7"/>
        <v>1</v>
      </c>
      <c r="N15" s="23">
        <f t="shared" si="8"/>
        <v>9.47813291427185E-16</v>
      </c>
      <c r="O15" s="23">
        <f t="shared" si="9"/>
        <v>624145637767.0948</v>
      </c>
      <c r="P15" s="23">
        <f t="shared" si="10"/>
        <v>1.0000000000000001E-07</v>
      </c>
      <c r="Q15" s="23">
        <f t="shared" si="11"/>
        <v>1</v>
      </c>
      <c r="R15" s="3"/>
    </row>
    <row r="16" spans="2:18" ht="12.75">
      <c r="B16" s="3" t="s">
        <v>118</v>
      </c>
      <c r="C16" s="4">
        <v>1</v>
      </c>
      <c r="D16" s="3"/>
      <c r="E16" s="23">
        <f>C16/0.000009999961</f>
        <v>100000.390001521</v>
      </c>
      <c r="F16" s="23">
        <f t="shared" si="0"/>
        <v>29307.22429817476</v>
      </c>
      <c r="G16" s="23">
        <f t="shared" si="1"/>
        <v>29.30722429817476</v>
      </c>
      <c r="H16" s="23">
        <f t="shared" si="2"/>
        <v>77817233.48721059</v>
      </c>
      <c r="I16" s="23">
        <f t="shared" si="3"/>
        <v>933806741.8462932</v>
      </c>
      <c r="J16" s="23">
        <f t="shared" si="4"/>
        <v>39.30163327636978</v>
      </c>
      <c r="K16" s="23">
        <f t="shared" si="5"/>
        <v>25199678.278745286</v>
      </c>
      <c r="L16" s="23">
        <f t="shared" si="6"/>
        <v>105506011.47344474</v>
      </c>
      <c r="M16" s="23">
        <f t="shared" si="7"/>
        <v>1055060114734447.4</v>
      </c>
      <c r="N16" s="23">
        <f t="shared" si="8"/>
        <v>1</v>
      </c>
      <c r="O16" s="23">
        <f t="shared" si="9"/>
        <v>6.585111681935558E+26</v>
      </c>
      <c r="P16" s="23">
        <f t="shared" si="10"/>
        <v>105506011.47344474</v>
      </c>
      <c r="Q16" s="23">
        <f t="shared" si="11"/>
        <v>1055060114734447.4</v>
      </c>
      <c r="R16" s="3"/>
    </row>
    <row r="17" spans="2:18" ht="12.75">
      <c r="B17" s="3" t="s">
        <v>115</v>
      </c>
      <c r="C17" s="4">
        <v>1</v>
      </c>
      <c r="D17" s="3"/>
      <c r="E17" s="23">
        <f>C17/6.585086E+21</f>
        <v>1.5185830526738756E-22</v>
      </c>
      <c r="F17" s="23">
        <f t="shared" si="0"/>
        <v>4.4505280568849064E-23</v>
      </c>
      <c r="G17" s="23">
        <f t="shared" si="1"/>
        <v>4.4505280568849064E-26</v>
      </c>
      <c r="H17" s="23">
        <f t="shared" si="2"/>
        <v>1.181714711091093E-19</v>
      </c>
      <c r="I17" s="23">
        <f t="shared" si="3"/>
        <v>1.4180575621943285E-18</v>
      </c>
      <c r="J17" s="23">
        <f t="shared" si="4"/>
        <v>5.968256147300127E-26</v>
      </c>
      <c r="K17" s="23">
        <f t="shared" si="5"/>
        <v>3.8267655122499545E-20</v>
      </c>
      <c r="L17" s="23">
        <f t="shared" si="6"/>
        <v>1.6021901612218886E-19</v>
      </c>
      <c r="M17" s="23">
        <f t="shared" si="7"/>
        <v>1.6021901612218886E-12</v>
      </c>
      <c r="N17" s="23">
        <f t="shared" si="8"/>
        <v>1.5185771301999703E-27</v>
      </c>
      <c r="O17" s="23">
        <f t="shared" si="9"/>
        <v>1</v>
      </c>
      <c r="P17" s="23">
        <f t="shared" si="10"/>
        <v>1.6021901612218886E-19</v>
      </c>
      <c r="Q17" s="23">
        <f t="shared" si="11"/>
        <v>1.6021901612218886E-12</v>
      </c>
      <c r="R17" s="3"/>
    </row>
    <row r="18" spans="2:18" ht="12.75">
      <c r="B18" s="3" t="s">
        <v>119</v>
      </c>
      <c r="C18" s="4">
        <v>1</v>
      </c>
      <c r="D18" s="3"/>
      <c r="E18" s="23">
        <f>C18/1055.056</f>
        <v>0.0009478169879134378</v>
      </c>
      <c r="F18" s="23">
        <f t="shared" si="0"/>
        <v>0.0002777777672464779</v>
      </c>
      <c r="G18" s="23">
        <f t="shared" si="1"/>
        <v>2.777777672464779E-07</v>
      </c>
      <c r="H18" s="23">
        <f t="shared" si="2"/>
        <v>0.7375620820127083</v>
      </c>
      <c r="I18" s="23">
        <f t="shared" si="3"/>
        <v>8.850744415462309</v>
      </c>
      <c r="J18" s="23">
        <f t="shared" si="4"/>
        <v>3.725061039414022E-07</v>
      </c>
      <c r="K18" s="23">
        <f t="shared" si="5"/>
        <v>0.23884590012283707</v>
      </c>
      <c r="L18" s="23">
        <f t="shared" si="6"/>
        <v>1</v>
      </c>
      <c r="M18" s="23">
        <f t="shared" si="7"/>
        <v>10000000</v>
      </c>
      <c r="N18" s="23">
        <f t="shared" si="8"/>
        <v>9.47813291427185E-09</v>
      </c>
      <c r="O18" s="23">
        <f t="shared" si="9"/>
        <v>6.241456377670948E+18</v>
      </c>
      <c r="P18" s="23">
        <f t="shared" si="10"/>
        <v>1</v>
      </c>
      <c r="Q18" s="23">
        <f t="shared" si="11"/>
        <v>10000000</v>
      </c>
      <c r="R18" s="3"/>
    </row>
    <row r="19" spans="2:18" ht="12.75">
      <c r="B19" s="3" t="s">
        <v>120</v>
      </c>
      <c r="C19" s="4">
        <v>1</v>
      </c>
      <c r="D19" s="3"/>
      <c r="E19" s="23">
        <f>C19/10550560000</f>
        <v>9.478169879134378E-11</v>
      </c>
      <c r="F19" s="23">
        <f t="shared" si="0"/>
        <v>2.777777672464779E-11</v>
      </c>
      <c r="G19" s="23">
        <f t="shared" si="1"/>
        <v>2.777777672464779E-14</v>
      </c>
      <c r="H19" s="23">
        <f t="shared" si="2"/>
        <v>7.375620820127083E-08</v>
      </c>
      <c r="I19" s="23">
        <f t="shared" si="3"/>
        <v>8.850744415462308E-07</v>
      </c>
      <c r="J19" s="23">
        <f t="shared" si="4"/>
        <v>3.725061039414022E-14</v>
      </c>
      <c r="K19" s="23">
        <f t="shared" si="5"/>
        <v>2.3884590012283708E-08</v>
      </c>
      <c r="L19" s="23">
        <f t="shared" si="6"/>
        <v>1.0000000000000001E-07</v>
      </c>
      <c r="M19" s="23">
        <f t="shared" si="7"/>
        <v>1</v>
      </c>
      <c r="N19" s="23">
        <f t="shared" si="8"/>
        <v>9.47813291427185E-16</v>
      </c>
      <c r="O19" s="23">
        <f t="shared" si="9"/>
        <v>624145637767.0948</v>
      </c>
      <c r="P19" s="23">
        <f t="shared" si="10"/>
        <v>1.0000000000000001E-07</v>
      </c>
      <c r="Q19" s="23">
        <f t="shared" si="11"/>
        <v>1</v>
      </c>
      <c r="R19" s="3"/>
    </row>
    <row r="20" spans="2:18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4" spans="2:18" ht="12.75">
      <c r="B24" s="18" t="s">
        <v>165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</row>
    <row r="25" spans="2:18" ht="12.75">
      <c r="B25" s="1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</row>
    <row r="26" spans="2:18" ht="14.25">
      <c r="B26" s="12" t="s">
        <v>161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</row>
    <row r="27" spans="2:18" ht="12.75">
      <c r="B27" s="12" t="s">
        <v>157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</row>
    <row r="28" spans="2:18" ht="12.75">
      <c r="B28" s="12" t="s">
        <v>158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</row>
    <row r="29" spans="2:18" ht="14.25">
      <c r="B29" s="12" t="s">
        <v>162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</row>
    <row r="30" spans="2:18" ht="12.75">
      <c r="B30" s="12" t="s">
        <v>164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</row>
    <row r="31" spans="2:18" ht="12.75">
      <c r="B31" s="19" t="s">
        <v>163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</sheetData>
  <sheetProtection password="87CD" sheet="1" objects="1" scenarios="1" selectLockedCells="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Jimmy "The Tulip" Tudeski</Manager>
  <Company>Engineering Solutions On-Line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Universal Unit Conversion Template, Version 2.0</dc:title>
  <dc:subject/>
  <dc:creator>John Cesarone</dc:creator>
  <cp:keywords/>
  <dc:description>visit us at EngineeringSolutions.homestead.com</dc:description>
  <cp:lastModifiedBy>John Cesarone</cp:lastModifiedBy>
  <cp:lastPrinted>2000-08-06T04:45:21Z</cp:lastPrinted>
  <dcterms:created xsi:type="dcterms:W3CDTF">1999-01-08T20:17:41Z</dcterms:created>
  <dcterms:modified xsi:type="dcterms:W3CDTF">2018-09-23T21:45:06Z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